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kerwin.singleton\Downloads\"/>
    </mc:Choice>
  </mc:AlternateContent>
  <xr:revisionPtr revIDLastSave="0" documentId="8_{9FE004EB-0C57-4FFE-9AB8-CC2D1E3C8B44}" xr6:coauthVersionLast="44" xr6:coauthVersionMax="44" xr10:uidLastSave="{00000000-0000-0000-0000-000000000000}"/>
  <bookViews>
    <workbookView xWindow="-120" yWindow="-120" windowWidth="29040" windowHeight="15840" activeTab="3" xr2:uid="{C3D4878D-61F3-414F-ACAB-2AE731A6EC9E}"/>
  </bookViews>
  <sheets>
    <sheet name="Read Me" sheetId="7" r:id="rId1"/>
    <sheet name="Facility Data" sheetId="5" r:id="rId2"/>
    <sheet name="Study Data" sheetId="1" r:id="rId3"/>
    <sheet name="Emissions and Costs" sheetId="4" r:id="rId4"/>
    <sheet name="Summary Pivot Tables" sheetId="6" r:id="rId5"/>
  </sheets>
  <calcPr calcId="191029" concurrentCalc="0"/>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7" l="1"/>
  <c r="Z49" i="4"/>
  <c r="Z25" i="4"/>
  <c r="I45" i="4"/>
  <c r="I21" i="4"/>
  <c r="C156" i="5"/>
  <c r="C21" i="7"/>
  <c r="D25" i="6"/>
  <c r="B153" i="5"/>
  <c r="C153" i="5"/>
  <c r="C155" i="5"/>
  <c r="B155" i="5"/>
  <c r="C154" i="5"/>
  <c r="B154" i="5"/>
  <c r="M39" i="4"/>
  <c r="M41" i="4"/>
  <c r="M15" i="4"/>
  <c r="M18" i="4"/>
  <c r="M46" i="4"/>
  <c r="M22" i="4"/>
  <c r="L39" i="4"/>
  <c r="L41" i="4"/>
  <c r="L15" i="4"/>
  <c r="L17" i="4"/>
  <c r="L46" i="4"/>
  <c r="L22" i="4"/>
  <c r="C151" i="5"/>
  <c r="C34" i="4"/>
  <c r="C10" i="4"/>
  <c r="W28" i="4"/>
  <c r="S28" i="4"/>
  <c r="K155" i="1"/>
  <c r="K154" i="1"/>
  <c r="K153" i="1"/>
  <c r="E22" i="4"/>
  <c r="E21" i="4"/>
  <c r="E20" i="4"/>
  <c r="M42" i="4"/>
  <c r="M17" i="4"/>
  <c r="AB28" i="4"/>
  <c r="C5" i="4"/>
  <c r="F5" i="4"/>
  <c r="H5" i="4"/>
  <c r="K5" i="4"/>
  <c r="K6" i="4"/>
  <c r="K30" i="4"/>
  <c r="N7" i="4"/>
  <c r="V7" i="4"/>
  <c r="AA28" i="4"/>
  <c r="Z28" i="4"/>
  <c r="C11" i="4"/>
  <c r="N12" i="4"/>
  <c r="C44" i="4"/>
  <c r="C45" i="4"/>
  <c r="C20" i="4"/>
  <c r="C21" i="4"/>
  <c r="C35" i="4"/>
  <c r="K10" i="4"/>
  <c r="K34" i="4"/>
  <c r="C29" i="4"/>
  <c r="C30" i="4"/>
  <c r="I5" i="4"/>
  <c r="I46" i="4"/>
  <c r="I44" i="4"/>
  <c r="I29" i="4"/>
  <c r="I20" i="4"/>
  <c r="I22" i="4"/>
  <c r="V36" i="4"/>
  <c r="T36" i="4"/>
  <c r="V31" i="4"/>
  <c r="T31" i="4"/>
  <c r="V12" i="4"/>
  <c r="T12" i="4"/>
  <c r="T7" i="4"/>
  <c r="N17" i="4"/>
  <c r="N22" i="4"/>
  <c r="N46" i="4"/>
  <c r="O42" i="4"/>
  <c r="Y42" i="4"/>
  <c r="N41" i="4"/>
  <c r="N36" i="4"/>
  <c r="N31" i="4"/>
  <c r="X28" i="4"/>
  <c r="C51" i="1"/>
  <c r="D51" i="1"/>
  <c r="E51" i="1"/>
  <c r="C49" i="1"/>
  <c r="D49" i="1"/>
  <c r="E49" i="1"/>
  <c r="C47" i="1"/>
  <c r="D47" i="1"/>
  <c r="E47" i="1"/>
  <c r="C46" i="1"/>
  <c r="D46" i="1"/>
  <c r="E46" i="1"/>
  <c r="B30" i="4"/>
  <c r="B31" i="4"/>
  <c r="B32" i="4"/>
  <c r="B29" i="4"/>
  <c r="B110" i="1"/>
  <c r="C110" i="1"/>
  <c r="F110" i="1"/>
  <c r="D99" i="1"/>
  <c r="E99" i="1"/>
  <c r="F99" i="1"/>
  <c r="D100" i="1"/>
  <c r="E100" i="1"/>
  <c r="E86" i="1"/>
  <c r="I86" i="1"/>
  <c r="E85" i="1"/>
  <c r="I85" i="1"/>
  <c r="D86" i="1"/>
  <c r="D85" i="1"/>
  <c r="C92" i="1"/>
  <c r="D92" i="1"/>
  <c r="C73" i="1"/>
  <c r="I31" i="4"/>
  <c r="D61" i="1"/>
  <c r="E61" i="1"/>
  <c r="F61" i="1"/>
  <c r="G61" i="1"/>
  <c r="H61" i="1"/>
  <c r="I61" i="1"/>
  <c r="D60" i="1"/>
  <c r="E60" i="1"/>
  <c r="F60" i="1"/>
  <c r="G60" i="1"/>
  <c r="H60" i="1"/>
  <c r="I60" i="1"/>
  <c r="D59" i="1"/>
  <c r="E59" i="1"/>
  <c r="F59" i="1"/>
  <c r="G59" i="1"/>
  <c r="H59" i="1"/>
  <c r="I59" i="1"/>
  <c r="F62" i="1"/>
  <c r="G62" i="1"/>
  <c r="H62" i="1"/>
  <c r="I62" i="1"/>
  <c r="J62" i="1"/>
  <c r="D8" i="1"/>
  <c r="H8" i="1"/>
  <c r="I8" i="1"/>
  <c r="D27" i="1"/>
  <c r="E27" i="1"/>
  <c r="H27" i="1"/>
  <c r="D28" i="1"/>
  <c r="E28" i="1"/>
  <c r="H28" i="1"/>
  <c r="A8" i="1"/>
  <c r="C8" i="1"/>
  <c r="G8" i="1"/>
  <c r="D29" i="6"/>
  <c r="D26" i="6"/>
  <c r="C26" i="6"/>
  <c r="C25" i="6"/>
  <c r="B26" i="6"/>
  <c r="B25" i="6"/>
  <c r="F123" i="1"/>
  <c r="I36" i="4"/>
  <c r="D27" i="6"/>
  <c r="D28" i="6"/>
  <c r="C28" i="6"/>
  <c r="C27" i="6"/>
  <c r="B28" i="6"/>
  <c r="B27" i="6"/>
  <c r="D143" i="1"/>
  <c r="F122" i="1"/>
  <c r="I34" i="4"/>
  <c r="F124" i="1"/>
  <c r="I35" i="4"/>
  <c r="F125" i="1"/>
  <c r="J28" i="4"/>
  <c r="T28" i="4"/>
  <c r="Y28" i="4"/>
  <c r="Q28" i="4"/>
  <c r="P28" i="4"/>
  <c r="O28" i="4"/>
  <c r="B156" i="5"/>
  <c r="B151" i="5"/>
  <c r="C152" i="5"/>
  <c r="B152" i="5"/>
  <c r="P11" i="5"/>
  <c r="M31" i="4"/>
  <c r="M32" i="4"/>
  <c r="P10" i="5"/>
  <c r="M7" i="4"/>
  <c r="M8" i="4"/>
  <c r="O11" i="5"/>
  <c r="L31" i="4"/>
  <c r="O10" i="5"/>
  <c r="L7" i="4"/>
  <c r="F121" i="1"/>
  <c r="F120" i="1"/>
  <c r="F119" i="1"/>
  <c r="F118" i="1"/>
  <c r="C25" i="5"/>
  <c r="C26" i="5"/>
  <c r="C15" i="4"/>
  <c r="C16" i="4"/>
  <c r="D31" i="5"/>
  <c r="C31" i="5"/>
  <c r="C23" i="5"/>
  <c r="D22" i="5"/>
  <c r="D23" i="5"/>
  <c r="D24" i="5"/>
  <c r="D25" i="5"/>
  <c r="D26" i="5"/>
  <c r="D27" i="5"/>
  <c r="D28" i="5"/>
  <c r="D29" i="5"/>
  <c r="D30" i="5"/>
  <c r="D32" i="5"/>
  <c r="D33" i="5"/>
  <c r="C22" i="5"/>
  <c r="C24" i="5"/>
  <c r="C27" i="5"/>
  <c r="C28" i="5"/>
  <c r="C29" i="5"/>
  <c r="C30" i="5"/>
  <c r="C32" i="5"/>
  <c r="C33" i="5"/>
  <c r="F28" i="4"/>
  <c r="C61" i="1"/>
  <c r="C60" i="1"/>
  <c r="C59" i="1"/>
  <c r="F19" i="1"/>
  <c r="E19" i="1"/>
  <c r="C100" i="1"/>
  <c r="C99" i="1"/>
  <c r="B61" i="1"/>
  <c r="K61" i="1"/>
  <c r="B60" i="1"/>
  <c r="K60" i="1"/>
  <c r="B59" i="1"/>
  <c r="K59" i="1"/>
  <c r="C62" i="1"/>
  <c r="K62" i="1"/>
  <c r="I13" i="4"/>
  <c r="I32" i="4"/>
  <c r="I8" i="4"/>
  <c r="I11" i="4"/>
  <c r="I30" i="4"/>
  <c r="I6" i="4"/>
  <c r="L36" i="4"/>
  <c r="M36" i="4"/>
  <c r="C34" i="5"/>
  <c r="D34" i="5"/>
  <c r="L12" i="4"/>
  <c r="C39" i="4"/>
  <c r="C40" i="4"/>
  <c r="F40" i="4"/>
  <c r="H40" i="4"/>
  <c r="J40" i="4"/>
  <c r="O40" i="4"/>
  <c r="Y40" i="4"/>
  <c r="Z40" i="4"/>
  <c r="M12" i="4"/>
  <c r="F10" i="4"/>
  <c r="H10" i="4"/>
  <c r="AA10" i="4"/>
  <c r="AB10" i="4"/>
  <c r="K29" i="4"/>
  <c r="K7" i="4"/>
  <c r="K8" i="4"/>
  <c r="K32" i="4"/>
  <c r="F20" i="4"/>
  <c r="H20" i="4"/>
  <c r="J20" i="4"/>
  <c r="O20" i="4"/>
  <c r="C6" i="4"/>
  <c r="F6" i="4"/>
  <c r="H6" i="4"/>
  <c r="AA6" i="4"/>
  <c r="F21" i="4"/>
  <c r="H21" i="4"/>
  <c r="AA21" i="4"/>
  <c r="AB21" i="4"/>
  <c r="C22" i="4"/>
  <c r="C23" i="4"/>
  <c r="F23" i="4"/>
  <c r="H23" i="4"/>
  <c r="AA23" i="4"/>
  <c r="F34" i="4"/>
  <c r="H34" i="4"/>
  <c r="J34" i="4"/>
  <c r="O34" i="4"/>
  <c r="F29" i="4"/>
  <c r="H29" i="4"/>
  <c r="J29" i="4"/>
  <c r="C36" i="4"/>
  <c r="F35" i="4"/>
  <c r="H35" i="4"/>
  <c r="C17" i="4"/>
  <c r="F16" i="4"/>
  <c r="H16" i="4"/>
  <c r="F30" i="4"/>
  <c r="H30" i="4"/>
  <c r="AA30" i="4"/>
  <c r="AB30" i="4"/>
  <c r="C31" i="4"/>
  <c r="C46" i="4"/>
  <c r="F45" i="4"/>
  <c r="H45" i="4"/>
  <c r="AA45" i="4"/>
  <c r="AB45" i="4"/>
  <c r="C12" i="4"/>
  <c r="F11" i="4"/>
  <c r="H11" i="4"/>
  <c r="K11" i="4"/>
  <c r="F15" i="4"/>
  <c r="H15" i="4"/>
  <c r="AA15" i="4"/>
  <c r="C7" i="4"/>
  <c r="F44" i="4"/>
  <c r="H44" i="4"/>
  <c r="J44" i="4"/>
  <c r="O44" i="4"/>
  <c r="D110" i="1"/>
  <c r="G110" i="1"/>
  <c r="I10" i="4"/>
  <c r="E110" i="1"/>
  <c r="L62" i="1"/>
  <c r="I12" i="4"/>
  <c r="U37" i="4"/>
  <c r="U8" i="4"/>
  <c r="U32" i="4"/>
  <c r="U13" i="4"/>
  <c r="F73" i="1"/>
  <c r="I37" i="4"/>
  <c r="J59" i="1"/>
  <c r="M59" i="1"/>
  <c r="J60" i="1"/>
  <c r="M60" i="1"/>
  <c r="J61" i="1"/>
  <c r="M61" i="1"/>
  <c r="Z42" i="4"/>
  <c r="G73" i="1"/>
  <c r="H73" i="1"/>
  <c r="I73" i="1"/>
  <c r="I7" i="4"/>
  <c r="AA5" i="4"/>
  <c r="J5" i="4"/>
  <c r="F39" i="4"/>
  <c r="H39" i="4"/>
  <c r="AA39" i="4"/>
  <c r="AA40" i="4"/>
  <c r="C41" i="4"/>
  <c r="AA20" i="4"/>
  <c r="AB20" i="4"/>
  <c r="J10" i="4"/>
  <c r="O10" i="4"/>
  <c r="Y10" i="4"/>
  <c r="Z10" i="4"/>
  <c r="J23" i="4"/>
  <c r="O23" i="4"/>
  <c r="Y23" i="4"/>
  <c r="F22" i="4"/>
  <c r="H22" i="4"/>
  <c r="J22" i="4"/>
  <c r="O22" i="4"/>
  <c r="Y22" i="4"/>
  <c r="Z22" i="4"/>
  <c r="AA34" i="4"/>
  <c r="AB34" i="4"/>
  <c r="K31" i="4"/>
  <c r="J39" i="4"/>
  <c r="O39" i="4"/>
  <c r="Y39" i="4"/>
  <c r="AA29" i="4"/>
  <c r="AB29" i="4"/>
  <c r="J15" i="4"/>
  <c r="O15" i="4"/>
  <c r="Y15" i="4"/>
  <c r="Z15" i="4"/>
  <c r="F41" i="4"/>
  <c r="H41" i="4"/>
  <c r="C42" i="4"/>
  <c r="F42" i="4"/>
  <c r="H42" i="4"/>
  <c r="AA44" i="4"/>
  <c r="AB44" i="4"/>
  <c r="F7" i="4"/>
  <c r="H7" i="4"/>
  <c r="AA7" i="4"/>
  <c r="AB7" i="4"/>
  <c r="C8" i="4"/>
  <c r="F8" i="4"/>
  <c r="H8" i="4"/>
  <c r="F36" i="4"/>
  <c r="H36" i="4"/>
  <c r="C37" i="4"/>
  <c r="F37" i="4"/>
  <c r="H37" i="4"/>
  <c r="J37" i="4"/>
  <c r="O37" i="4"/>
  <c r="K35" i="4"/>
  <c r="AA35" i="4"/>
  <c r="AB35" i="4"/>
  <c r="K12" i="4"/>
  <c r="F17" i="4"/>
  <c r="H17" i="4"/>
  <c r="AA17" i="4"/>
  <c r="C18" i="4"/>
  <c r="J35" i="4"/>
  <c r="O35" i="4"/>
  <c r="F46" i="4"/>
  <c r="H46" i="4"/>
  <c r="C47" i="4"/>
  <c r="F47" i="4"/>
  <c r="H47" i="4"/>
  <c r="AA11" i="4"/>
  <c r="AB11" i="4"/>
  <c r="C32" i="4"/>
  <c r="F32" i="4"/>
  <c r="H32" i="4"/>
  <c r="F31" i="4"/>
  <c r="H31" i="4"/>
  <c r="C13" i="4"/>
  <c r="F13" i="4"/>
  <c r="H13" i="4"/>
  <c r="F12" i="4"/>
  <c r="H12" i="4"/>
  <c r="J11" i="4"/>
  <c r="O11" i="4"/>
  <c r="Y11" i="4"/>
  <c r="Z11" i="4"/>
  <c r="J16" i="4"/>
  <c r="O16" i="4"/>
  <c r="Y16" i="4"/>
  <c r="Z16" i="4"/>
  <c r="AA16" i="4"/>
  <c r="H110" i="1"/>
  <c r="U6" i="4"/>
  <c r="U7" i="4"/>
  <c r="L60" i="1"/>
  <c r="L61" i="1"/>
  <c r="Q22" i="4"/>
  <c r="Q44" i="4"/>
  <c r="X44" i="4"/>
  <c r="Q20" i="4"/>
  <c r="X20" i="4"/>
  <c r="Q23" i="4"/>
  <c r="X23" i="4"/>
  <c r="Q21" i="4"/>
  <c r="X21" i="4"/>
  <c r="Q47" i="4"/>
  <c r="Q46" i="4"/>
  <c r="Q45" i="4"/>
  <c r="X45" i="4"/>
  <c r="Q7" i="4"/>
  <c r="Q37" i="4"/>
  <c r="Q31" i="4"/>
  <c r="Q8" i="4"/>
  <c r="Q5" i="4"/>
  <c r="Q29" i="4"/>
  <c r="Q35" i="4"/>
  <c r="Q30" i="4"/>
  <c r="Q36" i="4"/>
  <c r="Q11" i="4"/>
  <c r="Q34" i="4"/>
  <c r="Q32" i="4"/>
  <c r="Q13" i="4"/>
  <c r="Q6" i="4"/>
  <c r="Q10" i="4"/>
  <c r="Q12" i="4"/>
  <c r="L59" i="1"/>
  <c r="J73" i="1"/>
  <c r="K73" i="1"/>
  <c r="AB6" i="4"/>
  <c r="Y44" i="4"/>
  <c r="Z44" i="4"/>
  <c r="Y20" i="4"/>
  <c r="Z20" i="4"/>
  <c r="Y34" i="4"/>
  <c r="Z34" i="4"/>
  <c r="O29" i="4"/>
  <c r="O5" i="4"/>
  <c r="AB5" i="4"/>
  <c r="D39" i="1"/>
  <c r="E39" i="1"/>
  <c r="D38" i="1"/>
  <c r="E38" i="1"/>
  <c r="D37" i="1"/>
  <c r="E37" i="1"/>
  <c r="X46" i="4"/>
  <c r="AA41" i="4"/>
  <c r="J41" i="4"/>
  <c r="X22" i="4"/>
  <c r="E7" i="6"/>
  <c r="Z23" i="4"/>
  <c r="AA22" i="4"/>
  <c r="AB22" i="4"/>
  <c r="X32" i="4"/>
  <c r="X8" i="4"/>
  <c r="Z39" i="4"/>
  <c r="J42" i="4"/>
  <c r="AA42" i="4"/>
  <c r="Y35" i="4"/>
  <c r="Z35" i="4"/>
  <c r="AA12" i="4"/>
  <c r="AB12" i="4"/>
  <c r="X47" i="4"/>
  <c r="AA32" i="4"/>
  <c r="AB32" i="4"/>
  <c r="J32" i="4"/>
  <c r="O32" i="4"/>
  <c r="Y32" i="4"/>
  <c r="Z32" i="4"/>
  <c r="O18" i="4"/>
  <c r="Y18" i="4"/>
  <c r="Z18" i="4"/>
  <c r="F18" i="4"/>
  <c r="H18" i="4"/>
  <c r="J7" i="4"/>
  <c r="O7" i="4"/>
  <c r="Y7" i="4"/>
  <c r="Z7" i="4"/>
  <c r="J12" i="4"/>
  <c r="O12" i="4"/>
  <c r="Y12" i="4"/>
  <c r="Z12" i="4"/>
  <c r="J36" i="4"/>
  <c r="O36" i="4"/>
  <c r="K13" i="4"/>
  <c r="X13" i="4"/>
  <c r="K36" i="4"/>
  <c r="AA36" i="4"/>
  <c r="AB36" i="4"/>
  <c r="J8" i="4"/>
  <c r="O8" i="4"/>
  <c r="Y8" i="4"/>
  <c r="Z8" i="4"/>
  <c r="AA8" i="4"/>
  <c r="AA31" i="4"/>
  <c r="J31" i="4"/>
  <c r="O31" i="4"/>
  <c r="Y31" i="4"/>
  <c r="Z31" i="4"/>
  <c r="AA47" i="4"/>
  <c r="J47" i="4"/>
  <c r="O47" i="4"/>
  <c r="Y47" i="4"/>
  <c r="Z47" i="4"/>
  <c r="J13" i="4"/>
  <c r="O13" i="4"/>
  <c r="AA46" i="4"/>
  <c r="AB46" i="4"/>
  <c r="J46" i="4"/>
  <c r="O46" i="4"/>
  <c r="Y46" i="4"/>
  <c r="Z46" i="4"/>
  <c r="U10" i="4"/>
  <c r="X10" i="4"/>
  <c r="U29" i="4"/>
  <c r="X29" i="4"/>
  <c r="U35" i="4"/>
  <c r="U36" i="4"/>
  <c r="X6" i="4"/>
  <c r="U30" i="4"/>
  <c r="U31" i="4"/>
  <c r="X31" i="4"/>
  <c r="U34" i="4"/>
  <c r="X34" i="4"/>
  <c r="U11" i="4"/>
  <c r="U12" i="4"/>
  <c r="X12" i="4"/>
  <c r="U5" i="4"/>
  <c r="X5" i="4"/>
  <c r="X7" i="4"/>
  <c r="E143" i="1"/>
  <c r="F143" i="1"/>
  <c r="G143" i="1"/>
  <c r="Q40" i="4"/>
  <c r="X40" i="4"/>
  <c r="Q42" i="4"/>
  <c r="X42" i="4"/>
  <c r="Q17" i="4"/>
  <c r="X17" i="4"/>
  <c r="Q15" i="4"/>
  <c r="X15" i="4"/>
  <c r="Q16" i="4"/>
  <c r="X16" i="4"/>
  <c r="Q18" i="4"/>
  <c r="Q41" i="4"/>
  <c r="X41" i="4"/>
  <c r="Q39" i="4"/>
  <c r="X39" i="4"/>
  <c r="J6" i="4"/>
  <c r="N59" i="1"/>
  <c r="J21" i="4"/>
  <c r="O21" i="4"/>
  <c r="N61" i="1"/>
  <c r="N60" i="1"/>
  <c r="Y29" i="4"/>
  <c r="Z29" i="4"/>
  <c r="Y5" i="4"/>
  <c r="Z5" i="4"/>
  <c r="E19" i="6"/>
  <c r="E27" i="6"/>
  <c r="AA13" i="4"/>
  <c r="G7" i="6"/>
  <c r="E18" i="6"/>
  <c r="G18" i="6"/>
  <c r="X18" i="4"/>
  <c r="E6" i="6"/>
  <c r="E8" i="6"/>
  <c r="X36" i="4"/>
  <c r="Y36" i="4"/>
  <c r="Z36" i="4"/>
  <c r="AB31" i="4"/>
  <c r="AB8" i="4"/>
  <c r="J18" i="4"/>
  <c r="AA18" i="4"/>
  <c r="K37" i="4"/>
  <c r="Y13" i="4"/>
  <c r="Z13" i="4"/>
  <c r="F5" i="6"/>
  <c r="X35" i="4"/>
  <c r="X30" i="4"/>
  <c r="E20" i="6"/>
  <c r="X11" i="4"/>
  <c r="O6" i="4"/>
  <c r="J45" i="4"/>
  <c r="O45" i="4"/>
  <c r="Y45" i="4"/>
  <c r="Z45" i="4"/>
  <c r="F19" i="6"/>
  <c r="H19" i="6"/>
  <c r="J30" i="4"/>
  <c r="O41" i="4"/>
  <c r="Y41" i="4"/>
  <c r="Z41" i="4"/>
  <c r="F18" i="6"/>
  <c r="H18" i="6"/>
  <c r="J17" i="4"/>
  <c r="O17" i="4"/>
  <c r="Y17" i="4"/>
  <c r="Z17" i="4"/>
  <c r="F6" i="6"/>
  <c r="Y21" i="4"/>
  <c r="Z21" i="4"/>
  <c r="F7" i="6"/>
  <c r="G19" i="6"/>
  <c r="AB26" i="4"/>
  <c r="X25" i="4"/>
  <c r="I19" i="6"/>
  <c r="G20" i="6"/>
  <c r="G6" i="6"/>
  <c r="E26" i="6"/>
  <c r="H7" i="6"/>
  <c r="F27" i="6"/>
  <c r="H27" i="6"/>
  <c r="H5" i="6"/>
  <c r="G8" i="6"/>
  <c r="E28" i="6"/>
  <c r="I7" i="6"/>
  <c r="E5" i="6"/>
  <c r="H6" i="6"/>
  <c r="F26" i="6"/>
  <c r="Y37" i="4"/>
  <c r="Z37" i="4"/>
  <c r="F17" i="6"/>
  <c r="F25" i="6"/>
  <c r="X37" i="4"/>
  <c r="X49" i="4"/>
  <c r="AA37" i="4"/>
  <c r="AB50" i="4"/>
  <c r="J25" i="4"/>
  <c r="O30" i="4"/>
  <c r="J49" i="4"/>
  <c r="Y6" i="4"/>
  <c r="Z6" i="4"/>
  <c r="O25" i="4"/>
  <c r="C27" i="7"/>
  <c r="E17" i="6"/>
  <c r="E21" i="6"/>
  <c r="G5" i="6"/>
  <c r="E9" i="6"/>
  <c r="I5" i="6"/>
  <c r="H17" i="6"/>
  <c r="I27" i="6"/>
  <c r="Z26" i="4"/>
  <c r="F8" i="6"/>
  <c r="Y30" i="4"/>
  <c r="Z30" i="4"/>
  <c r="O49" i="4"/>
  <c r="C22" i="7"/>
  <c r="E25" i="6"/>
  <c r="I17" i="6"/>
  <c r="G17" i="6"/>
  <c r="Z50" i="4"/>
  <c r="F20" i="6"/>
  <c r="F28" i="6"/>
  <c r="H8" i="6"/>
  <c r="F9" i="6"/>
  <c r="I9" i="6"/>
  <c r="I8" i="6"/>
  <c r="E29" i="6"/>
  <c r="C23" i="7"/>
  <c r="C25" i="7"/>
  <c r="H28" i="6"/>
  <c r="I28" i="6"/>
  <c r="H9" i="6"/>
  <c r="H20" i="6"/>
  <c r="I20" i="6"/>
  <c r="F21" i="6"/>
  <c r="C24" i="7"/>
  <c r="H21" i="6"/>
  <c r="I21" i="6"/>
  <c r="F29" i="6"/>
  <c r="H29" i="6"/>
  <c r="I29" i="6"/>
</calcChain>
</file>

<file path=xl/sharedStrings.xml><?xml version="1.0" encoding="utf-8"?>
<sst xmlns="http://schemas.openxmlformats.org/spreadsheetml/2006/main" count="943" uniqueCount="424">
  <si>
    <t>Colorado</t>
  </si>
  <si>
    <t>VOC reduction (tpy)</t>
  </si>
  <si>
    <t xml:space="preserve">Source: Colorado DPHE, REGULATORY ANALYSIS for Proposed Revisions to Colorado Air Quality Control Commission Regulation Numbers 3, 6 and 7, February 2014. https://www.edf.org/sites/default/files/content/regulatoryanalysisattachment2013-01217.pdf </t>
  </si>
  <si>
    <t>In this regulatory analysis, Colorado looked at replacing all high bleed pneumatics with low bleed pneumatics on a statewide basis.</t>
  </si>
  <si>
    <t>Number of High-bleed Pneumatic devices replaced</t>
  </si>
  <si>
    <t>VOC reduction/ device (tpy)</t>
  </si>
  <si>
    <t>Annual O&amp;M Cost ($2013)</t>
  </si>
  <si>
    <t>Device</t>
  </si>
  <si>
    <t xml:space="preserve">The specific ratios from the representative gas composition were 0.908 lbs of methane per pound of natural gas and 0.0277 lbs VOC per pound methane. </t>
  </si>
  <si>
    <t>High-Bleed (tpy)</t>
  </si>
  <si>
    <t>Low-Bleed (tpy)</t>
  </si>
  <si>
    <t xml:space="preserve">Methane </t>
  </si>
  <si>
    <t xml:space="preserve">VOC </t>
  </si>
  <si>
    <t>VOC</t>
  </si>
  <si>
    <t>a. The conversion factor used in this analysis is 1,000 cubic feet (Mcf) of methane is equal to 0.0208 tons methane.</t>
  </si>
  <si>
    <t>Table 5-2. Average Bleed Emission Estimates per Pneumatic Controller in the Natural Gas Transmission and Storage Segment a</t>
  </si>
  <si>
    <t>Table 5-4. Estimated Annual Bleed Emission Reductions from Replacing a Representative High-Bleed Pneumatic Controller with a Representative Low-Bleed Pneumatic Controller in the Natural Gas Transmission and Storage Segment Baseline Emission reductions - High-Bleed Replaced with Low-Bleeda (tpy)</t>
  </si>
  <si>
    <t>It is assumed about 80  percent of high-bleed devices can be replaced with low-bleed devices throughout the transmission and storage segment.</t>
  </si>
  <si>
    <t xml:space="preserve">Controller Type </t>
  </si>
  <si>
    <t>Minimum Cost($)</t>
  </si>
  <si>
    <t>Maximum Cost($)</t>
  </si>
  <si>
    <t>Low-Bleed Incremental Cost($)</t>
  </si>
  <si>
    <t xml:space="preserve">High-Bleed Controller </t>
  </si>
  <si>
    <t xml:space="preserve">Low-Bleed Controller </t>
  </si>
  <si>
    <t xml:space="preserve">[Note: EPA uses the incremental cost of a low-bleed controller in further analyses, but this is irrelevant for replacement due </t>
  </si>
  <si>
    <t xml:space="preserve">A bleed rate of 1.39 scfh was used for a low-bleed controller, and a bleed rate of 37.3 scfh was used for a high-bleed controller. The specific gas composition ratio used for the production and processing segments was 0.278 pounds VOC per pound methane. </t>
  </si>
  <si>
    <t>Industry Segment</t>
  </si>
  <si>
    <t>Table 6-2. Average Emission Rates for High-Bleed and Low-Bleed Pneumatic Controllers in the Oil and Natural Gas Industry a</t>
  </si>
  <si>
    <t>Methane</t>
  </si>
  <si>
    <t>Oil and Natural Gas Production</t>
  </si>
  <si>
    <t>Natural Gas Processing</t>
  </si>
  <si>
    <t xml:space="preserve">Install a Low-Bleed Device in Place of a High-Bleed Device  </t>
  </si>
  <si>
    <t>Minimum Cost ($2012)</t>
  </si>
  <si>
    <t>Maximum Cost ($2012)</t>
  </si>
  <si>
    <t>Low-Bleed Controller</t>
  </si>
  <si>
    <t>VOC Reduction/ device (tpy)</t>
  </si>
  <si>
    <t>Methane Reduction/ device (tpy)</t>
  </si>
  <si>
    <t>Assuming natural gas in the production segment is 82.8 percent methane by volume, this equals 296 Mcf natural gas recovered per year. [The 2020 average EIA price for natural gas is $2.03/MMBtu.]</t>
  </si>
  <si>
    <t>Methane Reduction/ device (Mcf/yr)</t>
  </si>
  <si>
    <t>U.S. EPA  2016</t>
  </si>
  <si>
    <t>U.S. EPA   2016</t>
  </si>
  <si>
    <t xml:space="preserve">Table 6-4. VOC Cost of Control for Replacing an Existing High-Bleed Pneumatic Controller with a New Low-Bleed Pneumatic Controller </t>
  </si>
  <si>
    <t>Segment</t>
  </si>
  <si>
    <t xml:space="preserve">Oil and Natural Gas Production </t>
  </si>
  <si>
    <t xml:space="preserve">Source: U.S. EPA, Control Techniques Guidelines for the Oil and Natural Gas Industry, EPA-453/B-16-001, October 2016. https://www.epa.gov/sites/production/files/2016-10/documents/2016-ctg-oil-and-gas.pdf </t>
  </si>
  <si>
    <t>Page 73: In the Subramanian et al. 2015 data set, the average emission rate for pneumatic controllers in the transmission segment was 12.9 scfh, and the average emission rate for pneumatic controllers in the storage segment was 21.2 scfh.</t>
  </si>
  <si>
    <t>Page 73: low-bleed devices on the market today have emissions from 0.2 scfh up to 5 scfh. Similarly, the available bleed rates for a high bleed device vary significantly from venting as low as 7 scfh to as high as 100 scfh.</t>
  </si>
  <si>
    <t>Source: 81 FR 86517</t>
  </si>
  <si>
    <t xml:space="preserve">Population emission factors—gas service onshore natural gas transmission compression </t>
  </si>
  <si>
    <t xml:space="preserve">Emission factor (scf/hour/component) </t>
  </si>
  <si>
    <t xml:space="preserve"> Low Continuous Bleed Pneumatic Device Vents </t>
  </si>
  <si>
    <t xml:space="preserve"> High Continuous Bleed Pneumatic Device Vents </t>
  </si>
  <si>
    <t xml:space="preserve"> Intermittent Bleed Pneumatic Device Vents </t>
  </si>
  <si>
    <t>Methane (tpy)</t>
  </si>
  <si>
    <t>VOC (tpy)</t>
  </si>
  <si>
    <t>Method for Reducing Natural Gas Losses</t>
  </si>
  <si>
    <t>Volume of Natural Gas Savings (Mcf/ year)</t>
  </si>
  <si>
    <t>Value of Natural Gas Savings ($/ year) @ $2/Mcf</t>
  </si>
  <si>
    <t>Volume of Natural Gas Savings (scfh)</t>
  </si>
  <si>
    <t>Replace Gas with Air in Pneumatic Systems (10 controllers per facility)</t>
  </si>
  <si>
    <t>Replace Gas with Air in Pneumatic Systems (40 controllers per facility)</t>
  </si>
  <si>
    <t>Annualized Capital Cost ($)</t>
  </si>
  <si>
    <t>Replace Gas with Air in Pneumatic Systems ( per medium-sized facility)</t>
  </si>
  <si>
    <t xml:space="preserve">Source: U.S. EPA. Lessons Learned: Convert Gas Pneumatic Controls to Instrument Air. OAR: Natural Gas Star. October 2006. https://www.epa.gov/sites/production/files/2016-06/documents/ll_instrument_air.pdf </t>
  </si>
  <si>
    <t>Annual O&amp;M Cost*</t>
  </si>
  <si>
    <t>Annual Electric Costs ($) @$0.0996/kWh**</t>
  </si>
  <si>
    <t>** Electric price for commercial accounts in NM for year 2020 are from U.S. EIA . https://www.eia.gov/state/data.php?sid=NM#Prices</t>
  </si>
  <si>
    <t>tpy</t>
  </si>
  <si>
    <t>lbs/hr</t>
  </si>
  <si>
    <t>Methane (lbs/scf)</t>
  </si>
  <si>
    <t>VOC (lbs/scf)</t>
  </si>
  <si>
    <t>37.3 scfh = 326,748 scf/yr</t>
  </si>
  <si>
    <t>Table 6-3. Alternative Control Options for Gas-Driven Pumps</t>
  </si>
  <si>
    <t>Option</t>
  </si>
  <si>
    <t>Estimated cost range</t>
  </si>
  <si>
    <t>Convert to Solar Pumps</t>
  </si>
  <si>
    <t>Convert to Electric Pumps</t>
  </si>
  <si>
    <t>Convert to Instrument Air</t>
  </si>
  <si>
    <t>Route Natural Gas to an Existing Control Device</t>
  </si>
  <si>
    <t>Route Natural Gas to Newly Installed Control Device</t>
  </si>
  <si>
    <t>Route Natural Gas to Existing Gas Capture System</t>
  </si>
  <si>
    <t>Capital costs for converting to solar pumps is approximately $2,300 per device</t>
  </si>
  <si>
    <t>Capital costs range between
$1,807 to $5,352 plus electricity costs and an average annual maintenance cost of $263 per device.</t>
  </si>
  <si>
    <t>Capital costs will vary depending on the distance of pipeline necessary, but are approximately $5,433 per device.</t>
  </si>
  <si>
    <t>Capital costs will be approximately $48,500 with annual costs around $104,000.</t>
  </si>
  <si>
    <t>Result: Based on the sizing guidelines, 1 cfm of instrument air is needed for each pneumatic device. The air dryer consumes 17% of that. Thus, a wellhead with 10 pneumatic devices needs ~12 cfm of instrument air.</t>
  </si>
  <si>
    <t>Replace Gas with Air in Pneumatic Systems (100 controllers per facility)</t>
  </si>
  <si>
    <t>Horsepower</t>
  </si>
  <si>
    <t>Air Volume (cfm)</t>
  </si>
  <si>
    <t>U.S. EPA</t>
  </si>
  <si>
    <t xml:space="preserve">Source: U.S. EPA. Lessons Learned: Options for Reducing Methane Emissions From Pneumatic Devices in the Natural Gas Industry. OAR: Natural Gas Star. Washington, DC. February 2004. https://www.epa.gov/sites/production/files/2016-06/documents/ll_pneumatics.pdf </t>
  </si>
  <si>
    <t>This document outlines the costs to replace or retrofit high-bleed pneumatics with low-bleed pneumatics. Field experience shows that up to 80 percent of all high-bleed devices can be replaced with low-bleed equipment or retrofitted. Estimates to replace a high-bleed with low-bleed device are $1,850 ($2006) and gas savings are estimated at 260 Mcf/year.</t>
  </si>
  <si>
    <t>Retrofit</t>
  </si>
  <si>
    <t>Volume of Natural Gas Savings (Mcf/year)</t>
  </si>
  <si>
    <t>Value of Natural Gas Savings ($/year) @ $2/Mcf</t>
  </si>
  <si>
    <t>Early-replacement of high-bleed unit</t>
  </si>
  <si>
    <t>Assume interest rate of 3.25% and 5 year life of device.</t>
  </si>
  <si>
    <t>Annualized Cost = (Price x Interest Rate) / ( 1 - ( 1 + Interest Rate)-n  )</t>
  </si>
  <si>
    <t>Reductions (tpy)</t>
  </si>
  <si>
    <t>Reductions in VOC (tpy)</t>
  </si>
  <si>
    <t>Annualized Cost ($)</t>
  </si>
  <si>
    <t>Annualized cost/device ($)</t>
  </si>
  <si>
    <t>Basin</t>
  </si>
  <si>
    <t>Emissions from Pneumatic Controllers and Pneumatic Pumps</t>
  </si>
  <si>
    <t>Site Type</t>
  </si>
  <si>
    <t>Device Type</t>
  </si>
  <si>
    <t>Permian</t>
  </si>
  <si>
    <t>Gathering and Boosting</t>
  </si>
  <si>
    <t>Transmission Compressor Station</t>
  </si>
  <si>
    <t>P. Control - Low</t>
  </si>
  <si>
    <t>P. Control - Int.</t>
  </si>
  <si>
    <t>P. Control - High</t>
  </si>
  <si>
    <t># of Sites</t>
  </si>
  <si>
    <t>San Juan</t>
  </si>
  <si>
    <t># Devices/site type</t>
  </si>
  <si>
    <t>Footnotes:</t>
  </si>
  <si>
    <t>Whole gas lbs/scf</t>
  </si>
  <si>
    <t>FOOTNOTES</t>
  </si>
  <si>
    <t xml:space="preserve">Source: U.S. EPA, Oil and Natural Gas Sector: Emission Standards for New, Reconstructed, and Modified Sources Background Technical Support Document for the Final New Source Performance Standards 40 CFR Part 60, Subpart OOOOa, May 2016. https://www.regulations.gov/document/EPA-HQ-OAR-2010-0505-7631 </t>
  </si>
  <si>
    <t>Emissions/device (tpy VOC)</t>
  </si>
  <si>
    <t>Fraction Not Replaced</t>
  </si>
  <si>
    <t>The data for VOC emission rate from low-bleed and high-bleed controllers in the production segment is from Table 6-2 of U.S. EPA, Control Techniques Guidelines for the Oil and Natural Gas Industry, EPA-453/B-16-001, October 2016.</t>
  </si>
  <si>
    <t>COUNTY</t>
  </si>
  <si>
    <t>Chaves</t>
  </si>
  <si>
    <t>Eddy</t>
  </si>
  <si>
    <t>Lea</t>
  </si>
  <si>
    <t>Rio Arriba</t>
  </si>
  <si>
    <t>Sandoval</t>
  </si>
  <si>
    <t>Total:</t>
  </si>
  <si>
    <t>Fraction Subject to NSPS OOOO</t>
  </si>
  <si>
    <t>Fraction Subject to NSPS OOOOa</t>
  </si>
  <si>
    <t>Total Emissions Before Regulations (tpy VOC)</t>
  </si>
  <si>
    <t>Data is from http://gotech.nmt.edu/gotech/Petroleum_Data/allwells.aspx</t>
  </si>
  <si>
    <t>The data represents all producing oil and gas wells in Chaves, Eddy, Lea, San Juan, Rio Arriba, and Sandoval Counties for the year 2020.</t>
  </si>
  <si>
    <t># Wells</t>
  </si>
  <si>
    <t>Permian Basin</t>
  </si>
  <si>
    <t>San Juan Basin</t>
  </si>
  <si>
    <t>Count</t>
  </si>
  <si>
    <t>O&amp;G-Compressor Station</t>
  </si>
  <si>
    <t>Oil &amp; Gas</t>
  </si>
  <si>
    <t>O&amp;G-Gas Plant</t>
  </si>
  <si>
    <t>O&amp;G-Loading/Unloading Rack</t>
  </si>
  <si>
    <t>O&amp;G-Tank Battery/Bulk Fuel Storage</t>
  </si>
  <si>
    <t>O&amp;G-Refinery</t>
  </si>
  <si>
    <t>O&amp;G-Reinjection Facility</t>
  </si>
  <si>
    <t>O&amp;G-Production Facility</t>
  </si>
  <si>
    <t>O&amp;G-Amine Plant</t>
  </si>
  <si>
    <t>O&amp;G-Dehydrator</t>
  </si>
  <si>
    <t>O&amp;G-Well Head</t>
  </si>
  <si>
    <t>O&amp;G-Biodiesel</t>
  </si>
  <si>
    <t>Portable Source</t>
  </si>
  <si>
    <t>Grand Total</t>
  </si>
  <si>
    <t>AI Type</t>
  </si>
  <si>
    <t>Major-Title V</t>
  </si>
  <si>
    <t>Minor</t>
  </si>
  <si>
    <t>Multiple</t>
  </si>
  <si>
    <t>No Permit Required</t>
  </si>
  <si>
    <t>Notice of Intent</t>
  </si>
  <si>
    <t>Synthetic Minor</t>
  </si>
  <si>
    <t>Table W-1A to Subpart W of Part 98 - Default Whole Gas Emission Factors for Onshore Petroleum and Natural Gas Production Facilities and Onshore Petroleum and Natural Gas Gathering and Boosting Facilities</t>
  </si>
  <si>
    <t>Onshore petroleum and natural gas production and Onshore petroleum and natural gas gathering and boosting</t>
  </si>
  <si>
    <t>Population Emission Factors - All Components, Gas Service - Western U.S.</t>
  </si>
  <si>
    <t>Emission factor (scf/hour/ component)</t>
  </si>
  <si>
    <t>Valve</t>
  </si>
  <si>
    <t>Connector</t>
  </si>
  <si>
    <t>Open-ended Line</t>
  </si>
  <si>
    <t>Pressure Relief Valve</t>
  </si>
  <si>
    <t>Pneumatic Pumps</t>
  </si>
  <si>
    <t>Intermittent Bleed Pneumatic Device Vents</t>
  </si>
  <si>
    <t>High Continuous Bleed Pneumatic Device Vents</t>
  </si>
  <si>
    <t>Low Continuous Bleed Pneumatic Device Vents</t>
  </si>
  <si>
    <t>VOC Emissions (tpy/component)</t>
  </si>
  <si>
    <t>Source: https://www.law.cornell.edu/cfr/text/40/appendix-Table_W-1A_to_subpart_W_of_part_98    and    https://www.govinfo.gov/content/pkg/FR-2015-10-22/pdf/2015-25840.pdf</t>
  </si>
  <si>
    <t>US EPA</t>
  </si>
  <si>
    <t>Regulatory Impact Analysis for the Review and Reconsideration of the Oil and Natural Gas Sector Emission Standards for New, Reconstructed, and Modified Sources, EPA-452/R-20-004, 2020</t>
  </si>
  <si>
    <t>Table A- 2 Average Year-to-Year Increases in Compressor Station Counts</t>
  </si>
  <si>
    <t>Gathering and Boosting Stations</t>
  </si>
  <si>
    <t>Transmission Compressor Stations</t>
  </si>
  <si>
    <t>Average Year-to-Year Increase</t>
  </si>
  <si>
    <t xml:space="preserve">Location </t>
  </si>
  <si>
    <t>Source: https://www.ourenergypolicy.org/wp-content/uploads/2014/04/epa-devices.pdf</t>
  </si>
  <si>
    <t>Source: Picard, D.J., B.D. Ross, and D.W.H. Koon, ADetailedInventoryofCH4andVOCEmissionsfromUpstreamOilandGasOperationsinAlberta. Canadian Petroleum Association, Calgary, Alberta, 1992.</t>
  </si>
  <si>
    <t>Table 2-2 GRI Nationwide Pneumatic Controller Methane Emissions in the United States (1992 Base Year)</t>
  </si>
  <si>
    <t>Natural Gas Segment</t>
  </si>
  <si>
    <t>Production</t>
  </si>
  <si>
    <t>Processing</t>
  </si>
  <si>
    <t>Transmission</t>
  </si>
  <si>
    <t xml:space="preserve">Methane Emission Factor </t>
  </si>
  <si>
    <t xml:space="preserve">Activity Factor </t>
  </si>
  <si>
    <t>125,925 scf/yr/device</t>
  </si>
  <si>
    <t>249,111 controllers</t>
  </si>
  <si>
    <t>165,000 scf/yr/facility</t>
  </si>
  <si>
    <t>726 facilities</t>
  </si>
  <si>
    <t>162,197 scf/yr/device</t>
  </si>
  <si>
    <t>87,206 controllers</t>
  </si>
  <si>
    <t>Methane Emission Rate (scf/yr/facility</t>
  </si>
  <si>
    <t>Methane Emission Rate (lb/yr/facility</t>
  </si>
  <si>
    <t>VOC Emission Rate (lb/yr/facility</t>
  </si>
  <si>
    <t xml:space="preserve">US EPA, Oil and Natural Gas Sector Pneumatic Devices, April 2014. </t>
  </si>
  <si>
    <t>VOC Emission Rate (ton/yr/facility</t>
  </si>
  <si>
    <t>The data for VOC emissions from pneumatic devices at gathering and boosting stations is from Table W-1A to Subpart W of Part 98 - Default Whole Gas Emission Factors for Onshore Petroleum and Natural Gas Production Facilities and Onshore Petroleum and Natural Gas Gathering and Boosting Facilities</t>
  </si>
  <si>
    <t>Fraction Sites with Existing Electric</t>
  </si>
  <si>
    <t>Fraction That Cannot Be Replaced</t>
  </si>
  <si>
    <t xml:space="preserve">This study assumed a 95% replacement rate for high-bleed pneumatic controllers.  Colorado DPHE, Regulatory Analysis for Proposed Revisions to Colorado Air Quality Control Commission Regulation Numbers 3, 6 and 7, February 2014. https://www.edf.org/sites/default/files/content/regulatoryanalysisattachment2013-01217.pdf </t>
  </si>
  <si>
    <t>This study assumed a 80% replacement rate for high-bleed pneumatic controllers.  US EPA, Oil and Natural Gas Sector: Emission Standards for New, Reconstructed, and Modified Sources_Background Technical Support Document for Subpart OOOOa_2016. https://www.regulations.gov/document/EPA-HQ-OAR-2010-0505-7631</t>
  </si>
  <si>
    <t>Assume that low-bleed, intermittent-bleed, high bleed devices, and pumps will be replaced to meet the % reduction targets.</t>
  </si>
  <si>
    <t>P. Pump</t>
  </si>
  <si>
    <t>Fraction Subject to OOOO</t>
  </si>
  <si>
    <t>Fraction Subject to OOOOa</t>
  </si>
  <si>
    <t xml:space="preserve">Table A-2 in Appendix A of EPA-452/R-20-004, Regulatory Impact Analysis for the Review and Reconsideration of the Oil and Natural Gas Sector Emission Standards for New, Reconstructed, and Modified Sources, 2020 indicates that, over a ten year period, the average increases in the number of Gathering and Boosting Stations to the number of Transmission Compressor Stations is 212:36 or 5.888:1 or 85.5% to 14.5%. Source: https://nepis.epa.gov/Exe/ZyPDF.cgi?Dockey=P100ZUDQ.PDF </t>
  </si>
  <si>
    <t>Sum of Subpart OOOOa</t>
  </si>
  <si>
    <t>Sum of Subpart OOOO</t>
  </si>
  <si>
    <t>Gathering/Boosting</t>
  </si>
  <si>
    <t>OOOOa</t>
  </si>
  <si>
    <t>OOOO</t>
  </si>
  <si>
    <t>Control Technology</t>
  </si>
  <si>
    <t>% Reduction</t>
  </si>
  <si>
    <t>Annualized cost/System ($)</t>
  </si>
  <si>
    <t>Instrument Air</t>
  </si>
  <si>
    <t>Annual Cost per Site/Device</t>
  </si>
  <si>
    <t>This is the cost per site to install an instrument air system that can operate up to 10 controllers. Gas savings are not included in cost. Based on ten years life and 3.25% interest rate.</t>
  </si>
  <si>
    <t>This is the cost per controller device to replace a high-bleed device with a low-bleed device. Gas savings are not included in cost. Based on five years life and 3.25% interest rate.</t>
  </si>
  <si>
    <t>Convert to solar pump</t>
  </si>
  <si>
    <t>This is the cost per pump device to replace existing pump with a solar-powered pump. Gas savings are not included in cost. Based on five years life and 3.25% interest rate.</t>
  </si>
  <si>
    <t>NA</t>
  </si>
  <si>
    <t>Sites with Electricity</t>
  </si>
  <si>
    <t xml:space="preserve">Control Technology </t>
  </si>
  <si>
    <t>Sites without Electricity</t>
  </si>
  <si>
    <t>This is the cost per controller device to install an instrument air system that can operate up to 10 controllers. Gas savings are not included in cost. Based on ten years life and 3.25% interest rate.</t>
  </si>
  <si>
    <t>Solar electric controller</t>
  </si>
  <si>
    <t>Electronic controllers were modeled at sites of all sizes with electricity available, and smaller to medium sites (up to 20 controllers) with no electricity available.</t>
  </si>
  <si>
    <t>Instrument air was presented at larger sites with electricity available. For sites smaller than 20 controllers, electronic controllers were always more cost efficient than instrument air</t>
  </si>
  <si>
    <t>The detailed assumptions for the size of the electronic system (such as number of solar panels and battery requirements) are presented in the appendix. Overall, the system is oversized and always includes, for example, 10 days of energy storage.</t>
  </si>
  <si>
    <t>Electronic System Size</t>
  </si>
  <si>
    <t>4 controllers and one pump</t>
  </si>
  <si>
    <t xml:space="preserve">Annualized Cost Per Device </t>
  </si>
  <si>
    <t>Annualized cost is figured using 10-year life and 3.25% interest.</t>
  </si>
  <si>
    <t>This is the cost per controller device to install a solar-powered electronic system that can operate up to 5 controllers. Gas savings are not included in cost. Based on ten years life and 3.25% interest rate.</t>
  </si>
  <si>
    <t xml:space="preserve"> Emissions After NSPS Regulations (tpy VOC)</t>
  </si>
  <si>
    <t>Bleed Rate (scfh)</t>
  </si>
  <si>
    <t>NSPS Subpart OOOO applies to continuous bleed pneumatic controllers at gas processing plants for which you commence construction, modification or reconstruction after August 23, 2011, and on or before September 18, 2015. Requires a bleed rate of zero.</t>
  </si>
  <si>
    <t>NSPS Subpart OOOO applies to continuous bleed pneumatic controllers in the gas and oil production segments with bleed rates above 6 scfh for which you commence construction, modification or reconstruction after August 23, 2011, and on or before September 18, 2015. Requires bleed rate below 6 scfh.</t>
  </si>
  <si>
    <t>TOTAL</t>
  </si>
  <si>
    <t>TOTAL COST ($)</t>
  </si>
  <si>
    <t>Sum of  Emissions After NSPS Regulations (tpy VOC)</t>
  </si>
  <si>
    <t>Cost per ton VOC Reduced</t>
  </si>
  <si>
    <t>Totals for both basins:</t>
  </si>
  <si>
    <t>Emissions after NMED Rule control changes</t>
  </si>
  <si>
    <t>Annual costs of NMED Rule</t>
  </si>
  <si>
    <t>Tab Name</t>
  </si>
  <si>
    <t>Comments</t>
  </si>
  <si>
    <t>Section/ Rows</t>
  </si>
  <si>
    <t>Purpose</t>
  </si>
  <si>
    <t>Rows 3 - 16</t>
  </si>
  <si>
    <t>FACILITY DATA</t>
  </si>
  <si>
    <t>Well Counts</t>
  </si>
  <si>
    <t>Rows 19 - 34</t>
  </si>
  <si>
    <t>Rows 38 - 98</t>
  </si>
  <si>
    <t>Number of 'Natural Gas Processing' sites in the 'Emissions and Costs' tab.</t>
  </si>
  <si>
    <t>Number of 'Gathering and Boosting' and 'Transmission Compressor Station' sites in the 'Emissions and Costs' tab.</t>
  </si>
  <si>
    <t>Rows 101 - 154</t>
  </si>
  <si>
    <t>Data Use</t>
  </si>
  <si>
    <t>Number of 'Wellhead' sites in the 'Emissions and Costs' tab. Fraction of wells subject to NSPS.</t>
  </si>
  <si>
    <t>Study Data</t>
  </si>
  <si>
    <t>Emissions and Costs</t>
  </si>
  <si>
    <t>% Reduction in Emissions Due to Controls</t>
  </si>
  <si>
    <t>Summary Pivot Tables</t>
  </si>
  <si>
    <t>The well data for New Mexico wells producing in 2020 is used to determine the number of wells in the Permian and San Juan Basins and applicability of the NSPS and NMAC regulations. The cost analysis assumes that wells subject to an NSPS have already installed equipment and complied with the requirements.</t>
  </si>
  <si>
    <t>Emissions per device, emission factors, annualized equipment costs.</t>
  </si>
  <si>
    <t>NSPS Subpart OOOOa applies same as Subpart OOOO, except the trigger date is Sepember 18, 2015. NSPS OOOOa also covers pneumatic pumps at gas processing plants (zero emissions) and wellheads (95% reduction). NSPS Subpart OOOOa also covers pneumatics in the natural gas transmission sector.</t>
  </si>
  <si>
    <t>Average Annual Cost per Site</t>
  </si>
  <si>
    <t>* Assumes gas saved is sold at market price. 2019 market price reflects ~50% drop in market price of natural gas since 2013.</t>
  </si>
  <si>
    <t>Gas Savings ($/year/device) (Adjusted to $2019)*</t>
  </si>
  <si>
    <t>** Capital cost has been updated from 2013 to 2019 using the CEPCI Index.</t>
  </si>
  <si>
    <t>Replacement Capital Cost ($2013)</t>
  </si>
  <si>
    <t>Replacement Capital Cost ($2019)**</t>
  </si>
  <si>
    <t>Replacement Labor Cost ($2019)</t>
  </si>
  <si>
    <t>Average Cost ($2012)*</t>
  </si>
  <si>
    <t>Average Cost ($2019)*</t>
  </si>
  <si>
    <t>Average Cost ($2012)</t>
  </si>
  <si>
    <t>* Capital costs have been updated from $2012 to $2019 using the CEPCI Index.</t>
  </si>
  <si>
    <t>Estimated cost range ($2012)*</t>
  </si>
  <si>
    <t>Estimated cost range ($2019)*</t>
  </si>
  <si>
    <t>Annualized Capital Cost ($2019)</t>
  </si>
  <si>
    <t>** Assume 5-year life for pumps and 10- year life for piping to control/process. Assume interest rate of 3.25%.</t>
  </si>
  <si>
    <t>See rows 110 to 119 below.</t>
  </si>
  <si>
    <t>Table 5-5. Cost Projections for Representative Pneumatic Controllers a</t>
  </si>
  <si>
    <t>TABLE W–3B TO SUBPART W OF PART 98—DEFAULT TOTAL HYDROCARBON POPULATION EMISSION FACTORS FOR ONSHORE NATURAL GAS TRANSMISSION COMPRESSION Vents</t>
  </si>
  <si>
    <t>* Updated from $2006 to $2019 using the CEPCI Index.</t>
  </si>
  <si>
    <t>Capital Cost (Installed) ($2019)*</t>
  </si>
  <si>
    <t>Capital Cost (Installed) ($2006)</t>
  </si>
  <si>
    <t>High-Bleed(tpy)</t>
  </si>
  <si>
    <t>Low-Bleed(tpy)</t>
  </si>
  <si>
    <t>Average Capital Cost per Unit ($2012)</t>
  </si>
  <si>
    <t>Average Capital Cost per Unit ($2019) *</t>
  </si>
  <si>
    <t>* Updated from $2006 to $2019 using CEPCI Index.</t>
  </si>
  <si>
    <t>Implementation Cost ($2019)*</t>
  </si>
  <si>
    <t>Implementation Cost ($2006)*</t>
  </si>
  <si>
    <t>($2019) Cost Controllers, valves, and Pump</t>
  </si>
  <si>
    <t>($2019) Cost Control Panel, Solar Panel, Battery</t>
  </si>
  <si>
    <t>($2019) Installation Costs</t>
  </si>
  <si>
    <t>($2016) Cost Controllers, valves, and Pump</t>
  </si>
  <si>
    <t>($2016) Cost Control Panel, Solar Panel, Battery</t>
  </si>
  <si>
    <t>($2016) Installation Costs</t>
  </si>
  <si>
    <t>The reports and studies were examined and data extracted into this page. Data were then compared for applicability and usefulness to this report. The best data were chosen, values were updated to $2019 values, and are linked into the appropriate cells in the 'Emissions and Costs' tab.</t>
  </si>
  <si>
    <t>Wellhead/Tank Battery</t>
  </si>
  <si>
    <t>The total costs assume that the sites will install control technologies to achieve the maximum possible reductions in VOC emissions.</t>
  </si>
  <si>
    <t>The % reductions in emissions are the theoretical reductions in emissions due to installation of the specified control technologies.</t>
  </si>
  <si>
    <t>Total Cost for Control Tech - All Sites ($)</t>
  </si>
  <si>
    <t>Reduction in VOC Emissions Due to Control Choices (tpy)</t>
  </si>
  <si>
    <t>Fraction of 'Gas Plants,' 'Gathering and Boosting,' and 'Transmission Compressor Station' sites subject to NSPS.</t>
  </si>
  <si>
    <t xml:space="preserve">This part of the 'Emissions and Costs' sheet calculates control costs and emissions reductions. 
Selection of which sector/pneumatic device/control combinations is based on the principle of choosing the most cost-effective means of reductions first. Column T applies the cost per controller to the number of controllers estimated in column F. Column U calculates the amount of reduction in emissions possible due to the application of this control technology. Column V calculates the emissions after the effect of the controls. </t>
  </si>
  <si>
    <t>The pneumatics data can be matched to well count data, but not tank battery data, so well counts are used for estimating use of pneumatic devices at upstream sites. In actual practice, the wells, tanks, processing equipment, and pneumatic controllers and pumps are all part of the upstream production operations that extract petroleum products from the ground and separate them into gas and liquids (oil, condensate, water). In this cost analysis, "Wellhead/Tank Battery" represents all of the upstream  production equipment (wells, separators, heater treaters, tank batteries, low-pressure towers, and other processing equipment).</t>
  </si>
  <si>
    <t>% Devices Already Non-Emitting</t>
  </si>
  <si>
    <t>Total # Emitting Devices on sites</t>
  </si>
  <si>
    <t>2, 3</t>
  </si>
  <si>
    <t>18, 19, 20, 21</t>
  </si>
  <si>
    <t>23, 24, 25</t>
  </si>
  <si>
    <t>31, 32, 33</t>
  </si>
  <si>
    <t>Emissions After Control Technology (tpy)</t>
  </si>
  <si>
    <t># of Non-Emitting Devices After NMAC Rule</t>
  </si>
  <si>
    <t>% Reduction in # of Emitting Devices After NMAC Rule</t>
  </si>
  <si>
    <t>4, 5</t>
  </si>
  <si>
    <t>5, 7</t>
  </si>
  <si>
    <t>12, 13</t>
  </si>
  <si>
    <t>12, 14</t>
  </si>
  <si>
    <t>12, 15</t>
  </si>
  <si>
    <t>This is the cost per controller device to install an instrument air system that can operate 10 controllers. Gas savings are not included in cost. Based on ten years life and 3.25% interest rate.</t>
  </si>
  <si>
    <t>US EPA Subpart W Data - 2019 - Pneumatics</t>
  </si>
  <si>
    <t>Subpart W 2019 Pneumatics Data - Production</t>
  </si>
  <si>
    <t>Per Well</t>
  </si>
  <si>
    <t>Per 2 compressors</t>
  </si>
  <si>
    <t>Subpart W 2019 Pneumatics Data - Transmission</t>
  </si>
  <si>
    <t>Per Site</t>
  </si>
  <si>
    <t>Columns A through F</t>
  </si>
  <si>
    <t>Columns G and H</t>
  </si>
  <si>
    <t>Columns I through O</t>
  </si>
  <si>
    <t xml:space="preserve">This sheet compiles the numbers of wellheads, gathering and boosting sites, gas plants, and transmission compression stations for the Permian and San Juan Basins, applies an estimate of the count of pneumatic controllers and pumps at each site, and then calculates the number of each type of pneumatic device expected at site in each sector for each Basin. </t>
  </si>
  <si>
    <t>This sheet  applies emission factors for each pneumatic device type/sector/Basin to determine total VOC emissions before regulations. The sheet then applies factors for having 'electricity on site,' the fraction of sites subject to NSPS, and the fraction of devices that cannot be replaced for safety reasons to determine the emissions after the effect of the NSPS regulations. Column O is New Mexico's baseline for determining the amount of VOC being emitted from pneumatic devices prior to any regulation.</t>
  </si>
  <si>
    <t>Choose this Control Option? 
1 = Yes, 0 = No</t>
  </si>
  <si>
    <t>Columns P through  W</t>
  </si>
  <si>
    <t>Columns X through AB</t>
  </si>
  <si>
    <t>Control technology choices are made in the order of least cost/ton VOC reduced to highest cost per ton VOC reduced. The choices made in Columns S and W  are targeting an implementation/installation of 85% non-emitting controllers for wellheads, tank batteries, and gathering boosting stations, based on the requirements in Table 1 of 20.2.50.122 NMAC.  The choices made in Columns S and W are targeting an implementation/installation of 98% non-emitting controllers for  gas processing plants and compression stations based on Table 2 of 20.2.50.122 NMAC.</t>
  </si>
  <si>
    <t>These pivot tables are used to calculate the overall cost per ton VOC reduced.</t>
  </si>
  <si>
    <t>tpy VOC Reductions</t>
  </si>
  <si>
    <t>Total</t>
  </si>
  <si>
    <t>Note: Counts include portable sources, which are split proportionally between Permian and San Juan Basins</t>
  </si>
  <si>
    <t>NSPS OOOO Wells</t>
  </si>
  <si>
    <t>NSPS OOOOa Wells</t>
  </si>
  <si>
    <t>Permit Type Counts</t>
  </si>
  <si>
    <t>Count of AI Type</t>
  </si>
  <si>
    <t>NSPS well counts determined from well production dates.</t>
  </si>
  <si>
    <t>Study Data - This sheet data used to derive reductions and cost effectiveness.</t>
  </si>
  <si>
    <t>Reduction/device (tpy)</t>
  </si>
  <si>
    <t>US EPA, GHGRP, Subpart W. Based on analysis of 2019 Subpart W data for Permian Basin and San Juan Basin for low-bleed, intermittent-bleed, and high-bleed pneumatics, and pneumatic pumps.</t>
  </si>
  <si>
    <t>Total # Devices</t>
  </si>
  <si>
    <t>Gas Plant' assumed equal to a gas processing plant for purposes of applying controls.</t>
  </si>
  <si>
    <t>A site with a Title V permit is assumed to be a Transmission Compression station due to the large number of engines and associated NOx emissions. Sites with other permit types and portable sources are assumed to be a gathering and boosting station. Portable sources are split proportionately between the Permian and San Juan Basins.</t>
  </si>
  <si>
    <t>The 'O&amp;G-Compressor Station' data is stratified by permit type and used to determine the number of Transmission Compression Station and the number of Gathering &amp; Boosting sites in the Permian and San Juan Basins.</t>
  </si>
  <si>
    <t xml:space="preserve">The NSPS applicability data is used to determine the fraction of Gas Plants, Gathering &amp; Boosting sites, and Transmission Compression Stations that are already subject to NSPS Subpart OOOO and NSPS Subpart OOOOa. </t>
  </si>
  <si>
    <t>At present, there is insufficient data to support any assumptions regarding the percentage of non-emitting pneumatic devices in the Basins for each sector and device type.</t>
  </si>
  <si>
    <t>Natural gas processing plants and transmission compression stations are assumed to have electricity available, either from the grid or from on-site generation.</t>
  </si>
  <si>
    <t>Natural gas processing plants and all transmission compression stations are assumed to have electricity available, either from the grid or from on-site generation. See footnotes in the sheet for more details.</t>
  </si>
  <si>
    <t>These are the research notes and data tables derived from the identified reports and studies.</t>
  </si>
  <si>
    <t>These data are from New Mexico permit data and are used to determine the number of Gas Processing Plants in the Permian (40) and San Juan  (8) Basins.</t>
  </si>
  <si>
    <t>This part of the 'Emissions and Costs' sheet selects and applies the most cost-effective control technologies to the sites with and without electricity. For each sector and controller/pump type, the most cost-effective technology is selected, based on the studies and reports reviewed. The study/report is noted in the footnotes. The cost per controller is shown in columns Q and U. The % reduction in emissions achievable with this control technology is entered in Columns R and V. Columns S and W are variable inputs.</t>
  </si>
  <si>
    <t>These data represent all producing oil and gas wells in Chaves, Eddy, Lea, San Juan, Rio Arriba, and Sandoval Counties for the year 2020. The data are further broken out into the two Basins (Permian and San Juan) and by wells subject to NSPS OOOO and NSPS OOOOa.</t>
  </si>
  <si>
    <t>There are extensive footnotes for this sheet explaining where the data come from. The values in the cells are typically linked back to cells in the 'Study Data' sheet.</t>
  </si>
  <si>
    <t>The percentages of wellheads subject to NSPS Subpart OOOO and NSPS Subpart OOOOa is calculated using the 1st production year and 1st production month data from OCD.</t>
  </si>
  <si>
    <t>The percentages of gathering/boosting facilities, gas plants, and transmission/compression stations subject to NSPS Subpart OOOO and NSPS Subpart OOOOa is calculated based on NMED permitting data.</t>
  </si>
  <si>
    <t>The well count in each Basin is from New Mexico Environment Department. The count of tank batteries per wellheads is from NMED.</t>
  </si>
  <si>
    <t xml:space="preserve">The data for Pre-NSPS wellheads (based on first production date) is based on data from OCD. These data are sourced from http://gotech.nmt.edu/gotech/Petroleum_Data/allwells.aspx . </t>
  </si>
  <si>
    <t>The count of natural gas processing stations is from NMED.</t>
  </si>
  <si>
    <t>The percentage of wellhead/tank battery sites and gathering/boosting stations that have electrical power is based on calculations of sites having generator engines based on NMED permit data.</t>
  </si>
  <si>
    <t>The count of gathering and boosting stations is from NMED. Non-Title V sources are considered to be gathering and boosting.</t>
  </si>
  <si>
    <t>The count of transmission compression stations is from NMED. Title V sources are considered to be tansmission compression stations.</t>
  </si>
  <si>
    <t xml:space="preserve">US EPA, GHGRP, Subpart W data for 2019. </t>
  </si>
  <si>
    <t>Study data from 1992 indicate that most natural gas processing plants use electric controllers exclusively. See Table 2-2 in US EPA, Oil and Natural Gas Sector Pneumatic Devices, April 2014. Therefore, it is assumed there are no emitting controllers or pumps at these sites.</t>
  </si>
  <si>
    <t xml:space="preserve">Study data from page 16 of the pdf file US EPA, Oil and Natural Gas Sector Pneumatic Devices, April 2014 suggests that natural gas processing plants use compressed air to operate their pneumatic controllers. As this suggests the presence of electricity to power a compressor, it is assumed these sites have electric power. It is assumed all Title V compression stations are transmission compression stations; and further assume that these sites have electrical power. </t>
  </si>
  <si>
    <t>Column G is a variable input, it is currently assumed that Natural Gas Processing sites do not have any emitting devices, and all other sites have 20% non-emitting devices. If information is known or can be estimated regarding the percentage of pneumatic devices for each sector and type of device, those data/assumptions can be entered here. Column H calculates the number of emitting pneumatic devices remaining for regulation for each Basin/sector/type of device.</t>
  </si>
  <si>
    <t>The rule requires all pneumatic controllers and pumps at natural gas processing station have a bleed rate of zero. It is assumed intermittent-bleed devices will be replaced.</t>
  </si>
  <si>
    <t>Permit data is derived from NMED permit information.</t>
  </si>
  <si>
    <t>Facility data is derived from NMED permit information.</t>
  </si>
  <si>
    <t>Facility Counts</t>
  </si>
  <si>
    <t xml:space="preserve">NSPS OOOO and OOOOa Facility Counts </t>
  </si>
  <si>
    <t>NSPS Subpart OOOO and OOOOa applicability data is based on construction dates, and is derived from NMED permit information.</t>
  </si>
  <si>
    <t>US EPA, CTG: Page 6-25: "For the production segment, we estimated that, on average, 1.41 tons of VOC would be reduced annually per device in the production segment from installing a low-bleed device in place of a high-bleed device."</t>
  </si>
  <si>
    <t>US EPA, CTG: Page 6-9: "Based on criteria provided by the Natural Gas STAR Program, we assumed about 80 percent of high-bleed devices can be replaced with low-bleed devices throughout the production segment."</t>
  </si>
  <si>
    <t>US EPA, CTG: Page 6-10: "The use of a low-bleed pneumatic controller is estimated to reduce methane emissions by 5.1 tpy (245 Mcf/yr) (using the conversion factor of 0.0208 tons methane per 1 Mcf) over the use of a high-bleed pneumatic controller."</t>
  </si>
  <si>
    <t>The emission rate of intermittent bleed devices is from Table W-1A to Subpart W of Part 98 - Default Whole Gas Emission Factors for Onshore Petroleum and Natural Gas Production Facilities and Onshore Petroleum and Natural Gas Gathering and Boosting Facilities.</t>
  </si>
  <si>
    <t>Total annual costs for all facilities</t>
  </si>
  <si>
    <t xml:space="preserve">Regarding the replacement of that fraction of high bleed controllers that "cannot be replaced"; it is assumed that instrument air controllers and electronic controllers can meet any specifications for fast acting and frequency that would be met by a high-bleed controller. </t>
  </si>
  <si>
    <t>Using the data from table 6-2 in US EPA's 2016 CTG: 37.3 scfh yields 5.3 tpy methane and 1.4734 tpy VOC, a total of 6.773 tpy is equivalent to 1.5464 lbs/hr or 0.041459 lbs/scf. For each scf of gas, this yields 0.03244 lbs methane/scf and 0.00901857 lbs VOC/scf</t>
  </si>
  <si>
    <r>
      <t xml:space="preserve">a </t>
    </r>
    <r>
      <rPr>
        <sz val="11"/>
        <color theme="1"/>
        <rFont val="Calibri"/>
        <family val="2"/>
        <scheme val="minor"/>
      </rPr>
      <t>The conversion factor used in this analysis is 1 Mcf of methane is equal to 0.0208 tons methane.</t>
    </r>
  </si>
  <si>
    <r>
      <t xml:space="preserve">Table 6-3. Cost Projections for Representative Pneumatic Controllers </t>
    </r>
    <r>
      <rPr>
        <sz val="11"/>
        <color theme="1"/>
        <rFont val="Calibri"/>
        <family val="2"/>
        <scheme val="minor"/>
      </rPr>
      <t>a</t>
    </r>
  </si>
  <si>
    <r>
      <rPr>
        <b/>
        <sz val="11"/>
        <color theme="1"/>
        <rFont val="Calibri"/>
        <family val="2"/>
        <scheme val="minor"/>
      </rPr>
      <t>Processing:</t>
    </r>
    <r>
      <rPr>
        <sz val="11"/>
        <color theme="1"/>
        <rFont val="Calibri"/>
        <family val="2"/>
        <scheme val="minor"/>
      </rPr>
      <t xml:space="preserve">   The site visit information from nine natural gas processing plants found that plants used compressed air to operate the majority of pneumatic controllers at the plants. Only one of the plants used natural gas-powered continuous bleed controllers, and five had natural gas-driven pneumatic controllers for the isolation valves on the main pipeline emergency shutdown system or isolation valves used for maintenance. The same type of pneumatic controllers used in the transmission sector are used at natural gas processing sites; therefore, the same emission factors were used to calculate a facility pneumatic emission factor. </t>
    </r>
  </si>
  <si>
    <r>
      <t>Emissions from pneumatic controllers in the transmission and storage segment:</t>
    </r>
    <r>
      <rPr>
        <sz val="11"/>
        <color theme="1"/>
        <rFont val="Calibri"/>
        <family val="2"/>
        <scheme val="minor"/>
      </rPr>
      <t xml:space="preserve"> For this analysis, the EPA determined that best available emissions rate estimates for pneumatic controllers are presented in Table W-3 of the GHG Mandatory Reporting Rule for the Oil and Natural Gas Industry (Subpart W).</t>
    </r>
  </si>
  <si>
    <r>
      <rPr>
        <b/>
        <sz val="11"/>
        <color theme="1"/>
        <rFont val="Calibri"/>
        <family val="2"/>
        <scheme val="minor"/>
      </rPr>
      <t xml:space="preserve">Convert to Instrument Air </t>
    </r>
    <r>
      <rPr>
        <sz val="11"/>
        <color theme="1"/>
        <rFont val="Calibri"/>
        <family val="2"/>
        <scheme val="minor"/>
      </rPr>
      <t>- Compressed air may be substituted for natural gas in pneumatic systems without altering any of the parts of the pneumatic control.</t>
    </r>
  </si>
  <si>
    <r>
      <rPr>
        <b/>
        <sz val="11"/>
        <color theme="1"/>
        <rFont val="Calibri"/>
        <family val="2"/>
        <scheme val="minor"/>
      </rPr>
      <t>Carbon Limits. 2016. Zero emission technologies for pneumatic controllers in the USA.</t>
    </r>
    <r>
      <rPr>
        <sz val="11"/>
        <color theme="1"/>
        <rFont val="Calibri"/>
        <family val="2"/>
        <scheme val="minor"/>
      </rPr>
      <t xml:space="preserve"> Available at: https://www.ourenergypolicy.org/wp-content/uploads/2014/04/epa-devices.pdf.</t>
    </r>
  </si>
  <si>
    <t>NSPS OOOO</t>
  </si>
  <si>
    <t>NSPS OOOOa</t>
  </si>
  <si>
    <t>Permian counts</t>
  </si>
  <si>
    <t>Portable counts</t>
  </si>
  <si>
    <t>San Juan counts</t>
  </si>
  <si>
    <t>Total # Gathering/Boosting (NSPS and non-NSPS)</t>
  </si>
  <si>
    <t>The following table takes data from the 'NSPS OOOO and OOOOa Facility Counts' table above, and calculates the fractions of Gathering/Boosting facilities in the Permian and San Juan Basins that are subject to NSPS Subpart OOOO and NSPS Subpart OOOOa. Title V facilities are considered Transmission Compression stations, Portable facilities assumed to be distributed between Permian and San Juan in proportion to stationary facility counts. Calculated values are linked to the 'Emissions and Costs' tab.</t>
  </si>
  <si>
    <t>Permian+Portable fraction subject to NSPS</t>
  </si>
  <si>
    <t>San Juan+Portable fraction subject to NSPS</t>
  </si>
  <si>
    <t xml:space="preserve"> VOC Emissions (lbs/hr)</t>
  </si>
  <si>
    <t xml:space="preserve"> VOC Emissions (tpy)</t>
  </si>
  <si>
    <t>The data for VOC emission rate from low-bleed and high-bleed controllers in the transmission segment is from table 5-2 of U.S. EPA, Oil and Natural Gas Sector: Emission Standards for New, Reconstructed, and Modified Sources Background Technical Support Document for the Final New Source Performance Standards 40 CFR Part 60, Subpart OOOOa, May 2016. The data for VOC emission rate from intermittent bleed controllers in the transmission segment is from Table W–3B TO Subpart W OF Part 98—Default Total Hydrocarbon Population Emission Factors for Onshore Natural Gas Transmission Vents</t>
  </si>
  <si>
    <t>Facility Data</t>
  </si>
  <si>
    <t>The table below describes the contents of the tabs in this workbook and presents a summary of the results.</t>
  </si>
  <si>
    <t>Prepared by ERG, Inc.</t>
  </si>
  <si>
    <t>Pneumatic Controllers and Pumps</t>
  </si>
  <si>
    <t>Overall Results Summary:</t>
  </si>
  <si>
    <t>Average cost per ton VOC reduced ($/ton)</t>
  </si>
  <si>
    <t>Total estimated VOC emission reduction (tpy)</t>
  </si>
  <si>
    <t>Overall Emission Reduction (%)</t>
  </si>
  <si>
    <t>Number of faciities</t>
  </si>
  <si>
    <t>Baseline VOC emissions (tpy)</t>
  </si>
  <si>
    <t>Average annual cost per facility</t>
  </si>
  <si>
    <t>This workbook is used to estimate emission reductions and costs for implementing the pneumatic controller and pneumatic pump requirements in draft NMED rule "OIL AND GAS SECTOR - OZONE PRECURSOR POLLUTANTS" (May 6, 2021).</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</si>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</sst>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quot;$&quot;#,##0"/>
    <numFmt numFmtId="165" formatCode="0.000000"/>
    <numFmt numFmtId="166" formatCode="0.00000"/>
    <numFmt numFmtId="167" formatCode="0.0000"/>
    <numFmt numFmtId="168" formatCode="0.000"/>
    <numFmt numFmtId="169" formatCode="0.0"/>
    <numFmt numFmtId="170" formatCode="&quot;$&quot;#,##0.00"/>
    <numFmt numFmtId="171" formatCode="#,##0.0"/>
    <numFmt numFmtId="172" formatCode="0.0%"/>
    <numFmt numFmtId="173" formatCode="_(&quot;$&quot;* #,##0_);_(&quot;$&quot;* \(#,##0\);_(&quot;$&quot;* &quot;-&quot;??_);_(@_)"/>
    <numFmt numFmtId="174" formatCode="_(* #,##0_);_(* \(#,##0\);_(* &quot;-&quot;??_);_(@_)"/>
    <numFmt numFmtId="175" formatCode="_(* #,##0.000_);_(* \(#,##0.000\);_(* &quot;-&quot;??_);_(@_)"/>
    <numFmt numFmtId="176" formatCode="0.000000000"/>
  </numFmts>
  <fonts count="21" x14ac:knownFonts="1">
    <font>
      <sz val="11"/>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1"/>
      <color rgb="FFFF0000"/>
      <name val="Calibri"/>
      <family val="2"/>
      <scheme val="minor"/>
    </font>
    <font>
      <b/>
      <sz val="14"/>
      <color theme="1"/>
      <name val="Calibri"/>
      <family val="2"/>
      <scheme val="minor"/>
    </font>
    <font>
      <b/>
      <sz val="11"/>
      <color rgb="FF000000"/>
      <name val="Calibri"/>
      <family val="2"/>
    </font>
    <font>
      <sz val="10"/>
      <color rgb="FF000000"/>
      <name val="Arial"/>
      <family val="2"/>
    </font>
    <font>
      <sz val="11"/>
      <color rgb="FF000000"/>
      <name val="Calibri"/>
      <family val="2"/>
    </font>
    <font>
      <sz val="11"/>
      <color theme="1"/>
      <name val="Calibri"/>
      <family val="2"/>
    </font>
    <font>
      <sz val="11"/>
      <color rgb="FF000000"/>
      <name val="Calibri"/>
      <family val="2"/>
    </font>
    <font>
      <b/>
      <sz val="12"/>
      <color theme="1"/>
      <name val="Calibri"/>
      <family val="2"/>
      <scheme val="minor"/>
    </font>
    <font>
      <b/>
      <sz val="12"/>
      <color rgb="FF000000"/>
      <name val="Calibri"/>
      <family val="2"/>
    </font>
    <font>
      <sz val="11"/>
      <color theme="1"/>
      <name val="Calibri"/>
      <family val="2"/>
      <scheme val="minor"/>
    </font>
    <font>
      <b/>
      <sz val="16"/>
      <color theme="1"/>
      <name val="Calibri"/>
      <family val="2"/>
      <scheme val="minor"/>
    </font>
    <font>
      <sz val="11"/>
      <name val="Calibri"/>
      <family val="2"/>
      <scheme val="minor"/>
    </font>
    <font>
      <sz val="11"/>
      <color rgb="FF333333"/>
      <name val="Calibri"/>
      <family val="2"/>
      <scheme val="minor"/>
    </font>
    <font>
      <b/>
      <sz val="10"/>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79998168889431442"/>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n">
        <color theme="4" tint="0.39997558519241921"/>
      </bottom>
      <diagonal/>
    </border>
    <border>
      <left/>
      <right/>
      <top style="thin">
        <color theme="4" tint="0.39997558519241921"/>
      </top>
      <bottom/>
      <diagonal/>
    </border>
  </borders>
  <cellStyleXfs count="7">
    <xf numFmtId="0" fontId="0" fillId="0" borderId="0"/>
    <xf numFmtId="0" fontId="7"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8" fillId="0" borderId="0"/>
    <xf numFmtId="0" fontId="8" fillId="0" borderId="0"/>
  </cellStyleXfs>
  <cellXfs count="266">
    <xf numFmtId="0" fontId="0" fillId="0" borderId="0" xfId="0"/>
    <xf numFmtId="0" fontId="0" fillId="0" borderId="0" xfId="0" applyAlignment="1">
      <alignment wrapText="1"/>
    </xf>
    <xf numFmtId="0" fontId="0" fillId="0" borderId="0" xfId="0" applyBorder="1"/>
    <xf numFmtId="0" fontId="0" fillId="0" borderId="0" xfId="0" applyFill="1" applyBorder="1"/>
    <xf numFmtId="0" fontId="0" fillId="0" borderId="0" xfId="0" applyAlignment="1">
      <alignment vertical="center"/>
    </xf>
    <xf numFmtId="0" fontId="0" fillId="2" borderId="1" xfId="0" applyFill="1" applyBorder="1" applyAlignment="1">
      <alignment wrapText="1"/>
    </xf>
    <xf numFmtId="0" fontId="0" fillId="2" borderId="1" xfId="0" applyFill="1" applyBorder="1" applyAlignment="1">
      <alignment horizontal="center" wrapText="1"/>
    </xf>
    <xf numFmtId="164" fontId="0" fillId="2" borderId="1" xfId="0" applyNumberFormat="1" applyFill="1" applyBorder="1" applyAlignment="1">
      <alignment horizontal="center"/>
    </xf>
    <xf numFmtId="0" fontId="0" fillId="2" borderId="1" xfId="0" applyFill="1" applyBorder="1"/>
    <xf numFmtId="0" fontId="0" fillId="2" borderId="1" xfId="0" applyFill="1" applyBorder="1" applyAlignment="1">
      <alignment horizontal="center"/>
    </xf>
    <xf numFmtId="170" fontId="0" fillId="0" borderId="0" xfId="0" applyNumberFormat="1" applyAlignment="1">
      <alignment horizontal="center"/>
    </xf>
    <xf numFmtId="0" fontId="5" fillId="0" borderId="0" xfId="0" applyFont="1"/>
    <xf numFmtId="0" fontId="0" fillId="0" borderId="0" xfId="0" applyFill="1"/>
    <xf numFmtId="0" fontId="0" fillId="0" borderId="1" xfId="0" applyFill="1" applyBorder="1" applyAlignment="1">
      <alignment horizontal="center"/>
    </xf>
    <xf numFmtId="0" fontId="0" fillId="0" borderId="0" xfId="0" applyFill="1" applyAlignment="1">
      <alignment horizontal="right"/>
    </xf>
    <xf numFmtId="0" fontId="0" fillId="3" borderId="1" xfId="0" applyFill="1" applyBorder="1"/>
    <xf numFmtId="0" fontId="0" fillId="3" borderId="1" xfId="0" applyFill="1" applyBorder="1" applyAlignment="1">
      <alignment wrapText="1"/>
    </xf>
    <xf numFmtId="168" fontId="0" fillId="2" borderId="1" xfId="0" applyNumberFormat="1" applyFill="1" applyBorder="1"/>
    <xf numFmtId="0" fontId="0" fillId="0" borderId="1" xfId="0" applyFill="1" applyBorder="1" applyAlignment="1">
      <alignment horizontal="right"/>
    </xf>
    <xf numFmtId="0" fontId="0" fillId="0" borderId="1" xfId="0" applyFill="1" applyBorder="1"/>
    <xf numFmtId="167" fontId="0" fillId="3" borderId="1" xfId="0" applyNumberFormat="1" applyFill="1" applyBorder="1"/>
    <xf numFmtId="3" fontId="0" fillId="3" borderId="1" xfId="0" applyNumberFormat="1" applyFill="1" applyBorder="1"/>
    <xf numFmtId="3" fontId="0" fillId="2" borderId="1" xfId="0" applyNumberFormat="1" applyFill="1" applyBorder="1"/>
    <xf numFmtId="3" fontId="0" fillId="3" borderId="1" xfId="0" applyNumberFormat="1" applyFill="1" applyBorder="1" applyAlignment="1">
      <alignment horizontal="center"/>
    </xf>
    <xf numFmtId="3" fontId="0" fillId="2" borderId="1" xfId="0" applyNumberFormat="1" applyFill="1" applyBorder="1" applyAlignment="1">
      <alignment horizontal="center"/>
    </xf>
    <xf numFmtId="2" fontId="0" fillId="3" borderId="1" xfId="0" applyNumberFormat="1" applyFill="1" applyBorder="1" applyAlignment="1">
      <alignment horizontal="center"/>
    </xf>
    <xf numFmtId="1" fontId="0" fillId="3" borderId="1" xfId="0" applyNumberFormat="1" applyFill="1" applyBorder="1" applyAlignment="1">
      <alignment horizontal="center"/>
    </xf>
    <xf numFmtId="169" fontId="0" fillId="2" borderId="1" xfId="0" applyNumberFormat="1" applyFill="1" applyBorder="1" applyAlignment="1">
      <alignment horizontal="center"/>
    </xf>
    <xf numFmtId="168" fontId="0" fillId="3" borderId="1" xfId="0" applyNumberFormat="1" applyFill="1" applyBorder="1"/>
    <xf numFmtId="2" fontId="0" fillId="3" borderId="1" xfId="0" applyNumberFormat="1" applyFill="1" applyBorder="1"/>
    <xf numFmtId="168" fontId="0" fillId="3" borderId="1" xfId="0" applyNumberFormat="1" applyFill="1" applyBorder="1" applyAlignment="1">
      <alignment horizontal="center"/>
    </xf>
    <xf numFmtId="167" fontId="0" fillId="2" borderId="1" xfId="0" applyNumberFormat="1" applyFill="1" applyBorder="1" applyAlignment="1">
      <alignment horizontal="center"/>
    </xf>
    <xf numFmtId="0" fontId="0" fillId="3" borderId="1" xfId="0" applyFill="1" applyBorder="1" applyAlignment="1">
      <alignment horizontal="center"/>
    </xf>
    <xf numFmtId="168" fontId="0" fillId="2" borderId="1" xfId="0" applyNumberFormat="1" applyFill="1" applyBorder="1" applyAlignment="1">
      <alignment horizontal="center"/>
    </xf>
    <xf numFmtId="0" fontId="0" fillId="3" borderId="1" xfId="0" applyFill="1" applyBorder="1" applyAlignment="1">
      <alignment horizont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0" fillId="3" borderId="1" xfId="0" applyNumberFormat="1" applyFill="1" applyBorder="1" applyAlignment="1">
      <alignment horizontal="center"/>
    </xf>
    <xf numFmtId="1" fontId="0" fillId="0" borderId="1" xfId="0" applyNumberFormat="1" applyFill="1" applyBorder="1" applyAlignment="1">
      <alignment horizontal="center"/>
    </xf>
    <xf numFmtId="0" fontId="0" fillId="0" borderId="1" xfId="0" applyNumberFormat="1" applyFill="1" applyBorder="1" applyAlignment="1">
      <alignment horizontal="center"/>
    </xf>
    <xf numFmtId="9" fontId="0" fillId="3" borderId="1" xfId="0" applyNumberFormat="1" applyFill="1" applyBorder="1" applyAlignment="1">
      <alignment horizontal="center"/>
    </xf>
    <xf numFmtId="9" fontId="0" fillId="2" borderId="1" xfId="0" applyNumberFormat="1"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Fill="1" applyAlignment="1">
      <alignment vertical="center"/>
    </xf>
    <xf numFmtId="1" fontId="0" fillId="2" borderId="1" xfId="0" applyNumberFormat="1" applyFill="1" applyBorder="1" applyAlignment="1">
      <alignment horizontal="center"/>
    </xf>
    <xf numFmtId="1" fontId="0" fillId="0" borderId="1" xfId="0" applyNumberFormat="1" applyFill="1" applyBorder="1"/>
    <xf numFmtId="0" fontId="4" fillId="0" borderId="0" xfId="0" applyFont="1" applyFill="1" applyBorder="1"/>
    <xf numFmtId="2" fontId="0" fillId="2" borderId="1" xfId="0" applyNumberFormat="1"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1" fillId="0" borderId="1" xfId="0" applyFont="1" applyFill="1" applyBorder="1" applyAlignment="1">
      <alignment horizontal="right"/>
    </xf>
    <xf numFmtId="3" fontId="1" fillId="0" borderId="1" xfId="0" applyNumberFormat="1" applyFont="1" applyFill="1" applyBorder="1" applyAlignment="1">
      <alignment horizontal="center"/>
    </xf>
    <xf numFmtId="9" fontId="1" fillId="0" borderId="1" xfId="0" applyNumberFormat="1" applyFont="1" applyFill="1" applyBorder="1" applyAlignment="1">
      <alignment horizontal="right"/>
    </xf>
    <xf numFmtId="172" fontId="1" fillId="0" borderId="1" xfId="0" applyNumberFormat="1" applyFont="1" applyFill="1" applyBorder="1" applyAlignment="1">
      <alignment horizontal="center"/>
    </xf>
    <xf numFmtId="0" fontId="1" fillId="0" borderId="2" xfId="0" applyFont="1" applyFill="1" applyBorder="1" applyAlignment="1">
      <alignment horizontal="right"/>
    </xf>
    <xf numFmtId="0" fontId="0" fillId="0" borderId="8" xfId="0" applyBorder="1"/>
    <xf numFmtId="164" fontId="1" fillId="0" borderId="1" xfId="0" applyNumberFormat="1" applyFont="1" applyFill="1" applyBorder="1" applyAlignment="1">
      <alignment horizontal="center"/>
    </xf>
    <xf numFmtId="1" fontId="0" fillId="3" borderId="1" xfId="0" quotePrefix="1" applyNumberFormat="1" applyFill="1" applyBorder="1" applyAlignment="1">
      <alignment horizontal="center"/>
    </xf>
    <xf numFmtId="0" fontId="0" fillId="0" borderId="0" xfId="0" pivotButton="1" applyAlignment="1">
      <alignment wrapText="1"/>
    </xf>
    <xf numFmtId="43" fontId="0" fillId="0" borderId="0" xfId="3" applyFont="1" applyAlignment="1">
      <alignment wrapText="1"/>
    </xf>
    <xf numFmtId="173" fontId="0" fillId="0" borderId="0" xfId="4" applyNumberFormat="1" applyFont="1" applyAlignment="1">
      <alignment wrapText="1"/>
    </xf>
    <xf numFmtId="174" fontId="0" fillId="0" borderId="0" xfId="3" quotePrefix="1" applyNumberFormat="1" applyFont="1" applyAlignment="1">
      <alignment wrapText="1"/>
    </xf>
    <xf numFmtId="173" fontId="0" fillId="0" borderId="0" xfId="4" quotePrefix="1" applyNumberFormat="1" applyFont="1" applyAlignment="1">
      <alignment wrapText="1"/>
    </xf>
    <xf numFmtId="0" fontId="0" fillId="0" borderId="0" xfId="0" applyAlignment="1">
      <alignment horizontal="right" wrapText="1"/>
    </xf>
    <xf numFmtId="174" fontId="0" fillId="0" borderId="0" xfId="3" applyNumberFormat="1" applyFont="1" applyAlignment="1">
      <alignment wrapText="1"/>
    </xf>
    <xf numFmtId="2" fontId="0" fillId="0" borderId="0" xfId="0" applyNumberFormat="1" applyAlignment="1">
      <alignment wrapText="1"/>
    </xf>
    <xf numFmtId="173" fontId="0" fillId="0" borderId="0" xfId="0" applyNumberFormat="1" applyAlignment="1">
      <alignment wrapText="1"/>
    </xf>
    <xf numFmtId="174" fontId="0" fillId="0" borderId="0" xfId="0" applyNumberFormat="1" applyAlignment="1">
      <alignment wrapText="1"/>
    </xf>
    <xf numFmtId="1" fontId="0" fillId="0" borderId="0" xfId="0" applyNumberFormat="1" applyAlignment="1">
      <alignment wrapText="1"/>
    </xf>
    <xf numFmtId="0" fontId="0" fillId="0" borderId="0" xfId="0" applyFill="1" applyAlignment="1"/>
    <xf numFmtId="0" fontId="0" fillId="0" borderId="1" xfId="0" applyFont="1" applyFill="1" applyBorder="1" applyAlignment="1">
      <alignment horizontal="center" wrapText="1"/>
    </xf>
    <xf numFmtId="0" fontId="0" fillId="0" borderId="0" xfId="0" applyFont="1" applyFill="1" applyAlignment="1">
      <alignment wrapText="1"/>
    </xf>
    <xf numFmtId="0" fontId="0" fillId="0" borderId="0" xfId="0" applyFont="1" applyFill="1"/>
    <xf numFmtId="164" fontId="0" fillId="0" borderId="1" xfId="0" applyNumberFormat="1" applyFont="1" applyFill="1" applyBorder="1" applyAlignment="1">
      <alignment horizontal="center"/>
    </xf>
    <xf numFmtId="0" fontId="0" fillId="0" borderId="1" xfId="0" applyFont="1" applyFill="1" applyBorder="1"/>
    <xf numFmtId="0" fontId="0" fillId="0" borderId="0" xfId="0" applyFont="1" applyFill="1" applyBorder="1"/>
    <xf numFmtId="0" fontId="1"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xf>
    <xf numFmtId="0" fontId="1" fillId="0" borderId="1" xfId="0" applyFont="1" applyFill="1" applyBorder="1" applyAlignment="1">
      <alignment wrapText="1"/>
    </xf>
    <xf numFmtId="165" fontId="0" fillId="0" borderId="1" xfId="0" applyNumberFormat="1" applyFont="1" applyFill="1" applyBorder="1" applyAlignment="1">
      <alignment horizontal="center"/>
    </xf>
    <xf numFmtId="0" fontId="1" fillId="0" borderId="1" xfId="0" applyFont="1" applyFill="1" applyBorder="1"/>
    <xf numFmtId="167" fontId="0" fillId="0" borderId="1" xfId="0" applyNumberFormat="1" applyFont="1" applyFill="1" applyBorder="1" applyAlignment="1">
      <alignment horizontal="center"/>
    </xf>
    <xf numFmtId="164" fontId="0" fillId="0" borderId="1" xfId="0" applyNumberFormat="1" applyFont="1" applyFill="1" applyBorder="1" applyAlignment="1">
      <alignment horizontal="center" wrapText="1"/>
    </xf>
    <xf numFmtId="0" fontId="1" fillId="0" borderId="0" xfId="0" applyFont="1" applyFill="1" applyAlignment="1">
      <alignment wrapText="1"/>
    </xf>
    <xf numFmtId="170" fontId="0" fillId="0" borderId="1" xfId="0" applyNumberFormat="1" applyFont="1" applyFill="1" applyBorder="1" applyAlignment="1">
      <alignment horizontal="center" wrapText="1"/>
    </xf>
    <xf numFmtId="2" fontId="0" fillId="0" borderId="1" xfId="0" applyNumberFormat="1" applyFont="1" applyFill="1" applyBorder="1" applyAlignment="1">
      <alignment horizontal="center" wrapText="1"/>
    </xf>
    <xf numFmtId="0" fontId="0" fillId="0" borderId="0" xfId="0" applyFont="1" applyFill="1" applyAlignment="1">
      <alignment vertical="center"/>
    </xf>
    <xf numFmtId="0" fontId="1" fillId="0" borderId="0" xfId="0" applyFont="1" applyFill="1" applyBorder="1" applyAlignment="1"/>
    <xf numFmtId="172" fontId="0" fillId="0" borderId="0" xfId="2" applyNumberFormat="1" applyFont="1" applyFill="1" applyAlignment="1">
      <alignment vertical="center"/>
    </xf>
    <xf numFmtId="168" fontId="0" fillId="0" borderId="1" xfId="0" applyNumberFormat="1" applyFont="1" applyFill="1" applyBorder="1" applyAlignment="1">
      <alignment horizontal="center"/>
    </xf>
    <xf numFmtId="166" fontId="0" fillId="0" borderId="1" xfId="0" applyNumberFormat="1" applyFont="1" applyFill="1" applyBorder="1" applyAlignment="1">
      <alignment horizontal="center"/>
    </xf>
    <xf numFmtId="0" fontId="1" fillId="0" borderId="0" xfId="0" applyFont="1" applyFill="1" applyBorder="1" applyAlignment="1">
      <alignment vertical="center" wrapText="1"/>
    </xf>
    <xf numFmtId="6" fontId="0" fillId="0" borderId="0" xfId="0" applyNumberFormat="1" applyFont="1" applyFill="1" applyBorder="1" applyAlignment="1">
      <alignment vertical="center" wrapText="1"/>
    </xf>
    <xf numFmtId="0" fontId="1" fillId="0" borderId="3" xfId="0" applyFont="1" applyFill="1" applyBorder="1" applyAlignment="1">
      <alignment horizontal="center" vertical="center" wrapText="1"/>
    </xf>
    <xf numFmtId="4" fontId="0" fillId="3" borderId="1" xfId="0" applyNumberFormat="1" applyFill="1" applyBorder="1" applyAlignment="1">
      <alignment horizontal="center"/>
    </xf>
    <xf numFmtId="4" fontId="0" fillId="2" borderId="1" xfId="0" applyNumberFormat="1" applyFill="1" applyBorder="1" applyAlignment="1">
      <alignment horizontal="center"/>
    </xf>
    <xf numFmtId="171" fontId="0" fillId="2" borderId="1" xfId="0" applyNumberFormat="1" applyFill="1" applyBorder="1" applyAlignment="1">
      <alignment horizontal="center"/>
    </xf>
    <xf numFmtId="0" fontId="1" fillId="0" borderId="0" xfId="0" applyFont="1" applyAlignment="1">
      <alignment horizontal="left"/>
    </xf>
    <xf numFmtId="10" fontId="0" fillId="0" borderId="1" xfId="0" applyNumberFormat="1" applyFill="1" applyBorder="1" applyAlignment="1">
      <alignment horizontal="center"/>
    </xf>
    <xf numFmtId="9" fontId="0" fillId="0" borderId="1" xfId="0" applyNumberFormat="1" applyFill="1" applyBorder="1" applyAlignment="1">
      <alignment horizontal="center"/>
    </xf>
    <xf numFmtId="9" fontId="0" fillId="0" borderId="1" xfId="0" applyNumberFormat="1" applyFill="1" applyBorder="1"/>
    <xf numFmtId="168" fontId="15" fillId="2" borderId="1" xfId="0" applyNumberFormat="1" applyFont="1" applyFill="1" applyBorder="1"/>
    <xf numFmtId="2" fontId="0" fillId="2" borderId="1" xfId="0" applyNumberFormat="1" applyFill="1" applyBorder="1"/>
    <xf numFmtId="0" fontId="1" fillId="0" borderId="0" xfId="0" applyFont="1" applyBorder="1" applyAlignment="1"/>
    <xf numFmtId="0" fontId="1"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164" fontId="0" fillId="0" borderId="1" xfId="0" applyNumberFormat="1" applyFill="1" applyBorder="1" applyAlignment="1">
      <alignment horizontal="center"/>
    </xf>
    <xf numFmtId="0" fontId="0" fillId="0" borderId="10" xfId="0" applyFill="1" applyBorder="1"/>
    <xf numFmtId="0" fontId="1" fillId="0" borderId="11" xfId="0" applyFont="1" applyFill="1" applyBorder="1" applyAlignment="1">
      <alignment horizontal="right"/>
    </xf>
    <xf numFmtId="173" fontId="0" fillId="0" borderId="0" xfId="0" applyNumberFormat="1"/>
    <xf numFmtId="173" fontId="0" fillId="0" borderId="12" xfId="0" applyNumberFormat="1" applyBorder="1"/>
    <xf numFmtId="173" fontId="1" fillId="0" borderId="0" xfId="0" applyNumberFormat="1" applyFont="1"/>
    <xf numFmtId="3" fontId="0" fillId="0" borderId="0" xfId="0" applyNumberFormat="1"/>
    <xf numFmtId="3" fontId="0" fillId="0" borderId="12" xfId="0" applyNumberFormat="1" applyBorder="1"/>
    <xf numFmtId="3" fontId="1" fillId="0" borderId="0" xfId="0" applyNumberFormat="1" applyFont="1"/>
    <xf numFmtId="3" fontId="0" fillId="0" borderId="0" xfId="0" applyNumberFormat="1" applyAlignment="1">
      <alignment wrapText="1"/>
    </xf>
    <xf numFmtId="0" fontId="0" fillId="0" borderId="0" xfId="0" applyBorder="1" applyAlignment="1">
      <alignment vertical="center"/>
    </xf>
    <xf numFmtId="0" fontId="0" fillId="0" borderId="0" xfId="0" applyBorder="1" applyAlignment="1">
      <alignment vertical="center" wrapText="1"/>
    </xf>
    <xf numFmtId="164" fontId="0" fillId="0" borderId="0" xfId="0" applyNumberFormat="1" applyBorder="1"/>
    <xf numFmtId="0" fontId="0" fillId="0" borderId="0" xfId="0" applyFill="1" applyBorder="1" applyAlignment="1">
      <alignment vertical="center"/>
    </xf>
    <xf numFmtId="0" fontId="1" fillId="6" borderId="14" xfId="0" applyFont="1" applyFill="1" applyBorder="1" applyAlignment="1">
      <alignment wrapText="1"/>
    </xf>
    <xf numFmtId="0" fontId="0" fillId="0" borderId="0" xfId="0" applyAlignment="1">
      <alignment horizontal="center" wrapText="1"/>
    </xf>
    <xf numFmtId="43" fontId="0" fillId="0" borderId="0" xfId="3" applyFont="1" applyAlignment="1">
      <alignment horizontal="center" wrapText="1"/>
    </xf>
    <xf numFmtId="173" fontId="0" fillId="0" borderId="0" xfId="4" applyNumberFormat="1" applyFont="1" applyAlignment="1">
      <alignment horizontal="center" wrapText="1"/>
    </xf>
    <xf numFmtId="173" fontId="0" fillId="0" borderId="12" xfId="0" applyNumberFormat="1" applyBorder="1" applyAlignment="1">
      <alignment wrapText="1"/>
    </xf>
    <xf numFmtId="174" fontId="0" fillId="0" borderId="12" xfId="3" quotePrefix="1" applyNumberFormat="1" applyFont="1" applyBorder="1" applyAlignment="1">
      <alignment wrapText="1"/>
    </xf>
    <xf numFmtId="173" fontId="0" fillId="0" borderId="12" xfId="4" applyNumberFormat="1" applyFont="1" applyBorder="1" applyAlignment="1">
      <alignment wrapText="1"/>
    </xf>
    <xf numFmtId="0" fontId="0" fillId="0" borderId="12" xfId="0" applyBorder="1" applyAlignment="1">
      <alignment wrapText="1"/>
    </xf>
    <xf numFmtId="3" fontId="0" fillId="0" borderId="12" xfId="0" applyNumberFormat="1" applyBorder="1" applyAlignment="1">
      <alignment wrapText="1"/>
    </xf>
    <xf numFmtId="0" fontId="1" fillId="6" borderId="13" xfId="0" applyFont="1" applyFill="1" applyBorder="1" applyAlignment="1">
      <alignment wrapText="1"/>
    </xf>
    <xf numFmtId="43" fontId="0" fillId="0" borderId="0" xfId="3" applyFont="1"/>
    <xf numFmtId="43" fontId="0" fillId="0" borderId="12" xfId="3" applyFont="1" applyBorder="1"/>
    <xf numFmtId="0" fontId="6" fillId="0" borderId="1" xfId="1" applyFont="1" applyFill="1" applyBorder="1" applyAlignment="1">
      <alignment horizontal="center"/>
    </xf>
    <xf numFmtId="0" fontId="6" fillId="0" borderId="0" xfId="0" applyFont="1" applyFill="1"/>
    <xf numFmtId="0" fontId="6" fillId="0" borderId="1" xfId="1" applyFont="1" applyFill="1" applyBorder="1" applyAlignment="1">
      <alignment horizontal="center" wrapText="1"/>
    </xf>
    <xf numFmtId="9" fontId="0" fillId="0" borderId="0" xfId="2" applyFont="1" applyAlignment="1">
      <alignment wrapText="1"/>
    </xf>
    <xf numFmtId="0" fontId="1" fillId="0" borderId="1" xfId="0" applyFont="1" applyFill="1" applyBorder="1" applyAlignment="1">
      <alignment horizontal="center" wrapText="1"/>
    </xf>
    <xf numFmtId="0" fontId="0" fillId="0" borderId="1" xfId="0" applyFont="1" applyFill="1" applyBorder="1" applyAlignment="1">
      <alignment horizontal="center"/>
    </xf>
    <xf numFmtId="168" fontId="0" fillId="0" borderId="1" xfId="0" applyNumberFormat="1" applyFill="1" applyBorder="1" applyAlignment="1">
      <alignment horizontal="center"/>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0" xfId="0" applyFont="1" applyFill="1"/>
    <xf numFmtId="0" fontId="14" fillId="0" borderId="0" xfId="0" applyFont="1" applyFill="1"/>
    <xf numFmtId="0" fontId="10" fillId="0" borderId="1" xfId="1" applyFont="1" applyFill="1" applyBorder="1"/>
    <xf numFmtId="3" fontId="9" fillId="0" borderId="1" xfId="0" applyNumberFormat="1" applyFont="1" applyFill="1" applyBorder="1"/>
    <xf numFmtId="0" fontId="9" fillId="0" borderId="0" xfId="0" applyFont="1" applyFill="1"/>
    <xf numFmtId="0" fontId="8" fillId="0" borderId="1" xfId="1" applyFont="1" applyFill="1" applyBorder="1"/>
    <xf numFmtId="0" fontId="9" fillId="0" borderId="1" xfId="0" applyFont="1" applyFill="1" applyBorder="1"/>
    <xf numFmtId="167" fontId="0" fillId="0" borderId="1" xfId="0" applyNumberFormat="1" applyFill="1" applyBorder="1" applyAlignment="1">
      <alignment horizontal="center"/>
    </xf>
    <xf numFmtId="0" fontId="9" fillId="0" borderId="1" xfId="0" applyFont="1" applyFill="1" applyBorder="1" applyAlignment="1">
      <alignment horizontal="right"/>
    </xf>
    <xf numFmtId="0" fontId="10" fillId="0" borderId="1" xfId="1" applyFont="1" applyFill="1" applyBorder="1" applyAlignment="1">
      <alignment horizontal="right"/>
    </xf>
    <xf numFmtId="0" fontId="8" fillId="0" borderId="1" xfId="1" applyFont="1" applyFill="1" applyBorder="1" applyAlignment="1">
      <alignment horizontal="right"/>
    </xf>
    <xf numFmtId="0" fontId="14" fillId="0" borderId="0" xfId="0" applyFont="1" applyFill="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1" fillId="0" borderId="2" xfId="0" applyFont="1" applyFill="1" applyBorder="1" applyAlignment="1">
      <alignment horizontal="center" wrapText="1"/>
    </xf>
    <xf numFmtId="0" fontId="11" fillId="0" borderId="3" xfId="0" applyFont="1" applyFill="1" applyBorder="1" applyAlignment="1">
      <alignment horizontal="center" wrapText="1"/>
    </xf>
    <xf numFmtId="0" fontId="1" fillId="0" borderId="5" xfId="0" applyFont="1" applyFill="1" applyBorder="1" applyAlignment="1">
      <alignment horizontal="center" wrapText="1"/>
    </xf>
    <xf numFmtId="0" fontId="0" fillId="0" borderId="0" xfId="0" applyFill="1" applyAlignment="1">
      <alignment wrapText="1"/>
    </xf>
    <xf numFmtId="0" fontId="8" fillId="0" borderId="1" xfId="0" applyFont="1" applyFill="1" applyBorder="1" applyAlignment="1">
      <alignment vertical="center"/>
    </xf>
    <xf numFmtId="3" fontId="8" fillId="0" borderId="1" xfId="0" applyNumberFormat="1" applyFont="1" applyFill="1" applyBorder="1" applyAlignment="1">
      <alignment horizontal="center" vertical="center"/>
    </xf>
    <xf numFmtId="3" fontId="0" fillId="0" borderId="1" xfId="0" applyNumberFormat="1" applyFill="1" applyBorder="1" applyAlignment="1">
      <alignment horizontal="center"/>
    </xf>
    <xf numFmtId="1" fontId="0" fillId="0" borderId="0" xfId="0" applyNumberFormat="1" applyFill="1" applyBorder="1"/>
    <xf numFmtId="171" fontId="0" fillId="0" borderId="1" xfId="0" applyNumberFormat="1" applyFill="1" applyBorder="1" applyAlignment="1">
      <alignment horizontal="center"/>
    </xf>
    <xf numFmtId="0" fontId="8" fillId="0" borderId="1" xfId="0" applyFont="1" applyFill="1" applyBorder="1" applyAlignment="1">
      <alignment horizontal="right" vertical="center"/>
    </xf>
    <xf numFmtId="0" fontId="11" fillId="0" borderId="1" xfId="0" applyFont="1" applyFill="1" applyBorder="1"/>
    <xf numFmtId="175" fontId="0" fillId="0" borderId="0" xfId="3" applyNumberFormat="1" applyFont="1" applyFill="1"/>
    <xf numFmtId="0" fontId="0" fillId="0" borderId="1" xfId="0" applyFill="1" applyBorder="1" applyAlignment="1">
      <alignment vertical="center"/>
    </xf>
    <xf numFmtId="168" fontId="0" fillId="0" borderId="0" xfId="0" applyNumberFormat="1" applyFill="1"/>
    <xf numFmtId="168" fontId="0" fillId="0" borderId="1" xfId="0" applyNumberFormat="1" applyFill="1" applyBorder="1"/>
    <xf numFmtId="0" fontId="0" fillId="0" borderId="0" xfId="0" applyFill="1" applyBorder="1" applyAlignment="1">
      <alignment horizontal="left"/>
    </xf>
    <xf numFmtId="168" fontId="0" fillId="0" borderId="0" xfId="0" applyNumberFormat="1" applyFill="1" applyBorder="1"/>
    <xf numFmtId="0" fontId="2" fillId="0" borderId="0" xfId="0" applyFont="1" applyFill="1"/>
    <xf numFmtId="170" fontId="0" fillId="0" borderId="1" xfId="0" applyNumberFormat="1" applyFont="1" applyFill="1" applyBorder="1" applyAlignment="1">
      <alignment horizontal="center"/>
    </xf>
    <xf numFmtId="0" fontId="0" fillId="0" borderId="0" xfId="0" applyFont="1" applyFill="1" applyAlignment="1">
      <alignment vertical="center" wrapText="1"/>
    </xf>
    <xf numFmtId="0" fontId="0" fillId="0" borderId="5" xfId="0" applyFont="1" applyFill="1" applyBorder="1" applyAlignment="1">
      <alignment vertical="center"/>
    </xf>
    <xf numFmtId="164" fontId="0" fillId="0" borderId="3" xfId="0" applyNumberFormat="1" applyFont="1" applyFill="1" applyBorder="1" applyAlignment="1">
      <alignment horizontal="center"/>
    </xf>
    <xf numFmtId="0" fontId="0" fillId="0" borderId="5" xfId="0" applyFont="1" applyFill="1" applyBorder="1"/>
    <xf numFmtId="0" fontId="18" fillId="0" borderId="1" xfId="0" applyFont="1" applyFill="1" applyBorder="1"/>
    <xf numFmtId="0" fontId="18" fillId="0" borderId="1" xfId="0" applyFont="1" applyFill="1" applyBorder="1" applyAlignment="1">
      <alignment horizontal="left"/>
    </xf>
    <xf numFmtId="0" fontId="0" fillId="0" borderId="0" xfId="0" applyFont="1" applyFill="1" applyAlignment="1"/>
    <xf numFmtId="3" fontId="0" fillId="0" borderId="1" xfId="0" applyNumberFormat="1" applyFont="1" applyFill="1" applyBorder="1" applyAlignment="1">
      <alignment horizontal="center"/>
    </xf>
    <xf numFmtId="2" fontId="0" fillId="0" borderId="1" xfId="0" applyNumberFormat="1" applyFont="1" applyFill="1" applyBorder="1" applyAlignment="1">
      <alignment horizontal="center"/>
    </xf>
    <xf numFmtId="0" fontId="1" fillId="0" borderId="0" xfId="0" applyFont="1" applyFill="1" applyAlignment="1">
      <alignment vertical="center"/>
    </xf>
    <xf numFmtId="6" fontId="0" fillId="0" borderId="1" xfId="0" applyNumberFormat="1" applyFont="1" applyFill="1" applyBorder="1" applyAlignment="1">
      <alignment horizontal="center" vertical="center"/>
    </xf>
    <xf numFmtId="0" fontId="1" fillId="0" borderId="0" xfId="0" applyFont="1" applyFill="1"/>
    <xf numFmtId="0" fontId="0" fillId="0" borderId="1" xfId="0" applyFont="1" applyFill="1" applyBorder="1" applyAlignment="1">
      <alignment wrapText="1"/>
    </xf>
    <xf numFmtId="3" fontId="0" fillId="0" borderId="1" xfId="0" applyNumberFormat="1" applyFont="1" applyFill="1" applyBorder="1" applyAlignment="1">
      <alignment horizontal="center" wrapText="1"/>
    </xf>
    <xf numFmtId="169" fontId="0" fillId="0" borderId="1" xfId="0" applyNumberFormat="1" applyFont="1" applyFill="1" applyBorder="1" applyAlignment="1">
      <alignment horizontal="center" wrapText="1"/>
    </xf>
    <xf numFmtId="0" fontId="0" fillId="0" borderId="0" xfId="0" applyFont="1" applyFill="1" applyBorder="1" applyAlignment="1"/>
    <xf numFmtId="0" fontId="1" fillId="0" borderId="1" xfId="0" applyFont="1" applyFill="1" applyBorder="1" applyAlignment="1">
      <alignment vertical="center"/>
    </xf>
    <xf numFmtId="0" fontId="0" fillId="0" borderId="1" xfId="0" applyFont="1" applyFill="1" applyBorder="1" applyAlignment="1">
      <alignment vertical="center"/>
    </xf>
    <xf numFmtId="0" fontId="1" fillId="0" borderId="0" xfId="0" applyFont="1" applyFill="1" applyBorder="1" applyAlignment="1">
      <alignment vertical="center"/>
    </xf>
    <xf numFmtId="0" fontId="0" fillId="0" borderId="1" xfId="0" applyFont="1" applyFill="1" applyBorder="1" applyAlignment="1">
      <alignment horizontal="center" vertical="center" wrapText="1"/>
    </xf>
    <xf numFmtId="6" fontId="0" fillId="0" borderId="1" xfId="0" applyNumberFormat="1" applyFont="1" applyFill="1" applyBorder="1" applyAlignment="1">
      <alignment horizontal="center" vertical="center" wrapText="1"/>
    </xf>
    <xf numFmtId="6" fontId="0" fillId="0" borderId="3" xfId="0" applyNumberFormat="1" applyFont="1" applyFill="1" applyBorder="1" applyAlignment="1">
      <alignment horizontal="center" vertical="center" wrapText="1"/>
    </xf>
    <xf numFmtId="0" fontId="0" fillId="0" borderId="7" xfId="0" applyFont="1" applyFill="1" applyBorder="1"/>
    <xf numFmtId="0" fontId="15" fillId="0" borderId="1" xfId="0" applyFont="1" applyFill="1" applyBorder="1" applyAlignment="1">
      <alignment horizontal="left" vertical="center" wrapText="1" indent="1"/>
    </xf>
    <xf numFmtId="0" fontId="16" fillId="0" borderId="1" xfId="0" applyFont="1" applyFill="1" applyBorder="1" applyAlignment="1">
      <alignment horizontal="left" vertical="center" wrapText="1" indent="1"/>
    </xf>
    <xf numFmtId="1" fontId="0" fillId="0" borderId="1" xfId="0" applyNumberFormat="1" applyFont="1" applyFill="1" applyBorder="1" applyAlignment="1">
      <alignment horizontal="center"/>
    </xf>
    <xf numFmtId="168" fontId="15" fillId="0" borderId="1" xfId="0" applyNumberFormat="1" applyFont="1" applyFill="1" applyBorder="1" applyAlignment="1">
      <alignment horizontal="center"/>
    </xf>
    <xf numFmtId="0" fontId="0" fillId="0" borderId="3" xfId="0" applyFont="1" applyFill="1" applyBorder="1" applyAlignment="1">
      <alignment horizontal="center"/>
    </xf>
    <xf numFmtId="0" fontId="19" fillId="0" borderId="5" xfId="0" applyFont="1" applyFill="1" applyBorder="1" applyAlignment="1"/>
    <xf numFmtId="0" fontId="19" fillId="0" borderId="1" xfId="0" applyFont="1" applyFill="1" applyBorder="1" applyAlignment="1">
      <alignment horizontal="center"/>
    </xf>
    <xf numFmtId="0" fontId="20" fillId="0" borderId="1" xfId="0" applyFont="1" applyFill="1" applyBorder="1" applyAlignment="1">
      <alignment horizontal="center"/>
    </xf>
    <xf numFmtId="168" fontId="0" fillId="0" borderId="0" xfId="0" applyNumberFormat="1" applyFont="1" applyFill="1" applyAlignment="1">
      <alignment horizontal="center"/>
    </xf>
    <xf numFmtId="0" fontId="1" fillId="0" borderId="0" xfId="0" applyFont="1" applyFill="1" applyBorder="1" applyAlignment="1">
      <alignment horizontal="left"/>
    </xf>
    <xf numFmtId="174" fontId="0" fillId="0" borderId="12" xfId="3" applyNumberFormat="1" applyFont="1" applyBorder="1" applyAlignment="1">
      <alignment wrapText="1"/>
    </xf>
    <xf numFmtId="174" fontId="0" fillId="0" borderId="0" xfId="3" applyNumberFormat="1" applyFont="1"/>
    <xf numFmtId="174" fontId="1" fillId="6" borderId="13" xfId="3" applyNumberFormat="1" applyFont="1" applyFill="1" applyBorder="1" applyAlignment="1">
      <alignment horizontal="center" wrapText="1"/>
    </xf>
    <xf numFmtId="176" fontId="0" fillId="0" borderId="0" xfId="0" applyNumberFormat="1" applyFill="1" applyBorder="1"/>
    <xf numFmtId="3" fontId="8" fillId="0" borderId="3" xfId="6" applyNumberFormat="1" applyFill="1" applyBorder="1" applyAlignment="1">
      <alignment wrapText="1"/>
    </xf>
    <xf numFmtId="0" fontId="1" fillId="0" borderId="3" xfId="0" applyFont="1" applyFill="1" applyBorder="1" applyAlignment="1">
      <alignment horizontal="center" wrapText="1"/>
    </xf>
    <xf numFmtId="0" fontId="1" fillId="0" borderId="0" xfId="0" applyFont="1" applyFill="1" applyBorder="1" applyAlignment="1">
      <alignment horizontal="center" wrapText="1"/>
    </xf>
    <xf numFmtId="168" fontId="0" fillId="0" borderId="0" xfId="0" applyNumberFormat="1" applyFont="1" applyFill="1" applyBorder="1" applyAlignment="1">
      <alignment horizontal="center"/>
    </xf>
    <xf numFmtId="168" fontId="0" fillId="0" borderId="5" xfId="0" applyNumberFormat="1" applyFont="1" applyFill="1" applyBorder="1" applyAlignment="1">
      <alignment horizontal="center"/>
    </xf>
    <xf numFmtId="167" fontId="0" fillId="0" borderId="1" xfId="0" applyNumberFormat="1" applyFont="1" applyFill="1" applyBorder="1" applyAlignment="1">
      <alignment horizontal="center" vertical="center"/>
    </xf>
    <xf numFmtId="174" fontId="0" fillId="0" borderId="12" xfId="0" applyNumberFormat="1" applyBorder="1" applyAlignment="1">
      <alignment wrapText="1"/>
    </xf>
    <xf numFmtId="174" fontId="0" fillId="0" borderId="0" xfId="0" applyNumberFormat="1" applyAlignment="1">
      <alignment horizontal="center" wrapText="1"/>
    </xf>
    <xf numFmtId="0" fontId="0" fillId="0" borderId="1" xfId="0" applyFill="1" applyBorder="1" applyAlignment="1">
      <alignment vertical="top" wrapText="1"/>
    </xf>
    <xf numFmtId="0" fontId="0" fillId="0" borderId="1" xfId="0" quotePrefix="1" applyFill="1" applyBorder="1" applyAlignment="1">
      <alignment vertical="top" wrapText="1"/>
    </xf>
    <xf numFmtId="0" fontId="15" fillId="0" borderId="1" xfId="0" applyFont="1" applyFill="1" applyBorder="1" applyAlignment="1">
      <alignment vertical="top" wrapText="1"/>
    </xf>
    <xf numFmtId="0" fontId="8" fillId="0" borderId="5" xfId="6" applyFill="1" applyBorder="1" applyAlignment="1">
      <alignment horizontal="right" vertical="top"/>
    </xf>
    <xf numFmtId="174" fontId="8" fillId="0" borderId="5" xfId="3" applyNumberFormat="1" applyFont="1" applyFill="1" applyBorder="1" applyAlignment="1">
      <alignment horizontal="right" vertical="top"/>
    </xf>
    <xf numFmtId="172" fontId="8" fillId="0" borderId="3" xfId="2" applyNumberFormat="1" applyFont="1" applyFill="1" applyBorder="1" applyAlignment="1">
      <alignment wrapText="1"/>
    </xf>
    <xf numFmtId="172" fontId="8" fillId="0" borderId="5" xfId="2" applyNumberFormat="1" applyFont="1" applyFill="1" applyBorder="1" applyAlignment="1">
      <alignment horizontal="right" vertical="top"/>
    </xf>
    <xf numFmtId="173" fontId="8" fillId="0" borderId="5" xfId="4" applyNumberFormat="1" applyFont="1" applyFill="1" applyBorder="1" applyAlignment="1">
      <alignment horizontal="right" vertical="top"/>
    </xf>
    <xf numFmtId="170" fontId="0" fillId="0" borderId="0" xfId="0" applyNumberFormat="1" applyFill="1" applyAlignment="1">
      <alignment wrapText="1"/>
    </xf>
    <xf numFmtId="0" fontId="8" fillId="0" borderId="0" xfId="6" applyAlignment="1">
      <alignment vertical="top"/>
    </xf>
    <xf numFmtId="15" fontId="8" fillId="0" borderId="0" xfId="6" applyNumberFormat="1" applyAlignment="1">
      <alignment vertical="top"/>
    </xf>
    <xf numFmtId="0" fontId="8" fillId="0" borderId="1" xfId="5" applyFont="1" applyFill="1" applyBorder="1" applyAlignment="1">
      <alignment horizontal="center" vertical="top" wrapText="1"/>
    </xf>
    <xf numFmtId="0" fontId="1" fillId="0" borderId="0" xfId="0" applyFont="1" applyAlignment="1">
      <alignment vertical="top"/>
    </xf>
    <xf numFmtId="173" fontId="8" fillId="0" borderId="3" xfId="4" applyNumberFormat="1" applyFont="1" applyFill="1" applyBorder="1" applyAlignment="1">
      <alignment wrapText="1"/>
    </xf>
    <xf numFmtId="173" fontId="8" fillId="0" borderId="1" xfId="4" quotePrefix="1" applyNumberFormat="1" applyFont="1" applyFill="1" applyBorder="1" applyAlignment="1">
      <alignment wrapText="1"/>
    </xf>
    <xf numFmtId="173" fontId="0" fillId="0" borderId="1" xfId="4" applyNumberFormat="1" applyFont="1" applyBorder="1" applyAlignment="1">
      <alignment wrapText="1"/>
    </xf>
    <xf numFmtId="0" fontId="0" fillId="0" borderId="0" xfId="0" applyAlignment="1">
      <alignment horizontal="left" vertical="top" wrapText="1"/>
    </xf>
    <xf numFmtId="0" fontId="8" fillId="0" borderId="0" xfId="6" applyAlignment="1">
      <alignment horizontal="left" vertical="top"/>
    </xf>
    <xf numFmtId="0" fontId="0" fillId="0" borderId="0" xfId="0"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8" fillId="0" borderId="3" xfId="6" applyFill="1" applyBorder="1" applyAlignment="1">
      <alignment horizontal="left" vertical="top" wrapText="1"/>
    </xf>
    <xf numFmtId="0" fontId="8" fillId="0" borderId="2" xfId="6" applyFill="1" applyBorder="1" applyAlignment="1">
      <alignment horizontal="left" vertical="top" wrapText="1"/>
    </xf>
    <xf numFmtId="0" fontId="1" fillId="0" borderId="3" xfId="0" applyFont="1" applyFill="1" applyBorder="1" applyAlignment="1">
      <alignment horizontal="center"/>
    </xf>
    <xf numFmtId="0" fontId="1" fillId="0" borderId="9" xfId="0" applyFont="1" applyFill="1" applyBorder="1" applyAlignment="1">
      <alignment horizontal="center"/>
    </xf>
    <xf numFmtId="0" fontId="1" fillId="0" borderId="2" xfId="0" applyFont="1" applyFill="1" applyBorder="1" applyAlignment="1">
      <alignment horizontal="center"/>
    </xf>
    <xf numFmtId="0" fontId="0" fillId="0" borderId="0" xfId="0" applyFill="1" applyBorder="1" applyAlignment="1">
      <alignment horizontal="left" vertical="top" wrapTex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9" fillId="0" borderId="1"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top" wrapText="1"/>
    </xf>
    <xf numFmtId="0" fontId="0" fillId="0" borderId="0" xfId="0" applyFont="1" applyFill="1" applyAlignment="1">
      <alignment horizontal="left" vertical="top" wrapText="1"/>
    </xf>
    <xf numFmtId="0" fontId="1" fillId="0" borderId="4" xfId="0" applyFont="1" applyFill="1" applyBorder="1" applyAlignment="1">
      <alignment horizontal="left"/>
    </xf>
    <xf numFmtId="0" fontId="1" fillId="0" borderId="6" xfId="0" applyFont="1" applyFill="1" applyBorder="1" applyAlignment="1">
      <alignment horizontal="left"/>
    </xf>
    <xf numFmtId="0" fontId="1" fillId="5" borderId="3" xfId="0" applyFont="1" applyFill="1" applyBorder="1" applyAlignment="1">
      <alignment horizontal="center"/>
    </xf>
    <xf numFmtId="0" fontId="1" fillId="5" borderId="9" xfId="0" applyFont="1" applyFill="1" applyBorder="1" applyAlignment="1">
      <alignment horizontal="center"/>
    </xf>
    <xf numFmtId="0" fontId="1" fillId="5" borderId="2" xfId="0" applyFont="1" applyFill="1" applyBorder="1" applyAlignment="1">
      <alignment horizontal="center"/>
    </xf>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2" xfId="0" applyFont="1" applyFill="1" applyBorder="1" applyAlignment="1">
      <alignment horizontal="center"/>
    </xf>
  </cellXfs>
  <cellStyles count="7">
    <cellStyle name="Comma" xfId="3" builtinId="3"/>
    <cellStyle name="Currency" xfId="4" builtinId="4"/>
    <cellStyle name="Normal" xfId="0" builtinId="0"/>
    <cellStyle name="Normal 2" xfId="5" xr:uid="{456EE1EC-FA69-44D8-A9F9-E5483ED45665}"/>
    <cellStyle name="Normal 3" xfId="6" xr:uid="{9B03FE21-87CF-4150-8303-91EFDF745A97}"/>
    <cellStyle name="Normal_Sheet1" xfId="1" xr:uid="{CD63B368-B668-43CC-B08F-5ADAA81A0FF4}"/>
    <cellStyle name="Percent" xfId="2" builtinId="5"/>
  </cellStyles>
  <dxfs count="44">
    <dxf>
      <numFmt numFmtId="174" formatCode="_(* #,##0_);_(* \(#,##0\);_(* &quot;-&quot;??_);_(@_)"/>
    </dxf>
    <dxf>
      <numFmt numFmtId="174" formatCode="_(* #,##0_);_(* \(#,##0\);_(* &quot;-&quot;??_);_(@_)"/>
    </dxf>
    <dxf>
      <numFmt numFmtId="35" formatCode="_(* #,##0.00_);_(* \(#,##0.00\);_(* &quot;-&quot;??_);_(@_)"/>
    </dxf>
    <dxf>
      <numFmt numFmtId="2" formatCode="0.00"/>
    </dxf>
    <dxf>
      <numFmt numFmtId="2" formatCode="0.00"/>
    </dxf>
    <dxf>
      <border>
        <bottom style="medium">
          <color indexed="64"/>
        </bottom>
      </border>
    </dxf>
    <dxf>
      <border>
        <bottom style="medium">
          <color indexed="64"/>
        </bottom>
      </border>
    </dxf>
    <dxf>
      <alignment horizontal="center"/>
    </dxf>
    <dxf>
      <numFmt numFmtId="174" formatCode="_(* #,##0_);_(* \(#,##0\);_(* &quot;-&quot;??_);_(@_)"/>
    </dxf>
    <dxf>
      <numFmt numFmtId="174" formatCode="_(* #,##0_);_(* \(#,##0\);_(* &quot;-&quot;??_);_(@_)"/>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74" formatCode="_(* #,##0_);_(* \(#,##0\);_(* &quot;-&quot;??_);_(@_)"/>
    </dxf>
    <dxf>
      <numFmt numFmtId="174" formatCode="_(* #,##0_);_(* \(#,##0\);_(* &quot;-&quot;??_);_(@_)"/>
    </dxf>
    <dxf>
      <border>
        <bottom style="medium">
          <color indexed="64"/>
        </bottom>
      </border>
    </dxf>
    <dxf>
      <border>
        <bottom style="medium">
          <color indexed="64"/>
        </bottom>
      </bord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74" formatCode="_(* #,##0_);_(* \(#,##0\);_(* &quot;-&quot;??_);_(@_)"/>
    </dxf>
  </dxfs>
  <tableStyles count="0" defaultTableStyle="TableStyleMedium2" defaultPivotStyle="PivotStyleLight16"/>
  <colors>
    <mruColors>
      <color rgb="FFFECC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phen Treimel" refreshedDate="44342.559011226855" createdVersion="7" refreshedVersion="7" minRefreshableVersion="3" recordCount="19" xr:uid="{48AFE7C4-2C78-440E-BFE2-3812843C16DB}">
  <cacheSource type="worksheet">
    <worksheetSource ref="A28:Z47" sheet="Emissions and Costs"/>
  </cacheSource>
  <cacheFields count="26">
    <cacheField name="Basin" numFmtId="0">
      <sharedItems count="2">
        <s v="San Juan"/>
        <s v="Footnotes:"/>
      </sharedItems>
    </cacheField>
    <cacheField name="Site Type" numFmtId="0">
      <sharedItems containsBlank="1" containsMixedTypes="1" containsNumber="1" containsInteger="1" minValue="1" maxValue="31" count="7">
        <s v="Wellhead/Tank Battery"/>
        <n v="1"/>
        <s v="Gathering and Boosting"/>
        <m/>
        <s v="Natural Gas Processing"/>
        <s v="Transmission Compressor Station"/>
        <n v="31" u="1"/>
      </sharedItems>
    </cacheField>
    <cacheField name="# of Sites" numFmtId="0">
      <sharedItems containsMixedTypes="1" containsNumber="1" minValue="6" maxValue="20448" count="8">
        <n v="20448"/>
        <s v="2, 3"/>
        <n v="345"/>
        <s v="4, 5"/>
        <n v="8"/>
        <n v="6"/>
        <n v="39"/>
        <n v="344.5" u="1"/>
      </sharedItems>
    </cacheField>
    <cacheField name="Device Type" numFmtId="0">
      <sharedItems containsBlank="1"/>
    </cacheField>
    <cacheField name="# Devices/site type" numFmtId="0">
      <sharedItems containsString="0" containsBlank="1" containsNumber="1" minValue="0" maxValue="14.833333333333334"/>
    </cacheField>
    <cacheField name="Total # Devices" numFmtId="0">
      <sharedItems containsString="0" containsBlank="1" containsNumber="1" minValue="0" maxValue="52918.07398975527"/>
    </cacheField>
    <cacheField name="% Devices Already Non-Emitting" numFmtId="0">
      <sharedItems containsString="0" containsBlank="1" containsNumber="1" minValue="0.2" maxValue="1"/>
    </cacheField>
    <cacheField name="Total # Emitting Devices on sites" numFmtId="0">
      <sharedItems containsString="0" containsBlank="1" containsNumber="1" minValue="0" maxValue="42334.459191804221"/>
    </cacheField>
    <cacheField name="Emissions/device (tpy VOC)" numFmtId="0">
      <sharedItems containsBlank="1" containsMixedTypes="1" containsNumber="1" minValue="6.28E-3" maxValue="1.4734"/>
    </cacheField>
    <cacheField name="Total Emissions Before Regulations (tpy VOC)" numFmtId="0">
      <sharedItems containsString="0" containsBlank="1" containsNumber="1" minValue="0" maxValue="20546.607908325339"/>
    </cacheField>
    <cacheField name="Fraction Sites with Existing Electric" numFmtId="0">
      <sharedItems containsSemiMixedTypes="0" containsString="0" containsNumber="1" minValue="3.9E-2" maxValue="17"/>
    </cacheField>
    <cacheField name="Fraction Subject to OOOO" numFmtId="0">
      <sharedItems containsBlank="1" containsMixedTypes="1" containsNumber="1" minValue="2.9587245696400626E-2" maxValue="22"/>
    </cacheField>
    <cacheField name="Fraction Subject to OOOOa" numFmtId="0">
      <sharedItems containsBlank="1" containsMixedTypes="1" containsNumber="1" minValue="1.2568466353677621E-2" maxValue="22"/>
    </cacheField>
    <cacheField name="Fraction Not Replaced" numFmtId="0">
      <sharedItems containsBlank="1" containsMixedTypes="1" containsNumber="1" minValue="0.125" maxValue="26"/>
    </cacheField>
    <cacheField name=" Emissions After NSPS Regulations (tpy VOC)" numFmtId="0">
      <sharedItems containsString="0" containsBlank="1" containsNumber="1" minValue="0" maxValue="20546.607908325339"/>
    </cacheField>
    <cacheField name="Control Technology " numFmtId="0">
      <sharedItems containsBlank="1"/>
    </cacheField>
    <cacheField name="Annual Cost per Site/Device" numFmtId="0">
      <sharedItems containsSemiMixedTypes="0" containsString="0" containsNumber="1" minValue="27" maxValue="4610.6705056980818"/>
    </cacheField>
    <cacheField name="% Reduction in Emissions Due to Controls" numFmtId="0">
      <sharedItems containsSemiMixedTypes="0" containsString="0" containsNumber="1" containsInteger="1" minValue="1" maxValue="30"/>
    </cacheField>
    <cacheField name="Choose this Control Option? _x000a_1 = Yes, 0 = No" numFmtId="0">
      <sharedItems containsString="0" containsBlank="1" containsNumber="1" containsInteger="1" minValue="1" maxValue="1"/>
    </cacheField>
    <cacheField name="Control Technology" numFmtId="0">
      <sharedItems containsBlank="1"/>
    </cacheField>
    <cacheField name="Annual Cost per Site/Device2" numFmtId="0">
      <sharedItems containsBlank="1" containsMixedTypes="1" containsNumber="1" minValue="525.61933918003331" maxValue="854.97886988254845"/>
    </cacheField>
    <cacheField name="% Reduction in Emissions Due to Controls2" numFmtId="0">
      <sharedItems containsBlank="1" containsMixedTypes="1" containsNumber="1" containsInteger="1" minValue="1" maxValue="30"/>
    </cacheField>
    <cacheField name="Choose this Control Option? _x000a_1 = Yes, 0 = No2" numFmtId="0">
      <sharedItems containsString="0" containsBlank="1" containsNumber="1" containsInteger="1" minValue="0" maxValue="1"/>
    </cacheField>
    <cacheField name="Total Cost for Control Tech - All Sites ($)" numFmtId="0">
      <sharedItems containsSemiMixedTypes="0" containsString="0" containsNumber="1" minValue="0" maxValue="34377379.298352398"/>
    </cacheField>
    <cacheField name="Reduction in VOC Emissions Due to Control Choices (tpy)" numFmtId="0">
      <sharedItems containsSemiMixedTypes="0" containsString="0" containsNumber="1" minValue="0" maxValue="20546.607908325339"/>
    </cacheField>
    <cacheField name="Emissions After Control Technology (tpy)" numFmtId="0">
      <sharedItems containsString="0" containsBlank="1" containsNumber="1" minValue="0" maxValue="1137.964351906897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phen Treimel" refreshedDate="44342.559045254631" createdVersion="7" refreshedVersion="7" minRefreshableVersion="3" recordCount="19" xr:uid="{981EDB1D-B8CA-4EFE-B50B-256BFB440E5B}">
  <cacheSource type="worksheet">
    <worksheetSource ref="A4:Z23" sheet="Emissions and Costs"/>
  </cacheSource>
  <cacheFields count="26">
    <cacheField name="Basin" numFmtId="0">
      <sharedItems count="2">
        <s v="Permian"/>
        <s v="Footnotes:"/>
      </sharedItems>
    </cacheField>
    <cacheField name="Site Type" numFmtId="0">
      <sharedItems containsBlank="1" containsMixedTypes="1" containsNumber="1" containsInteger="1" minValue="1" maxValue="31" count="7">
        <s v="Wellhead/Tank Battery"/>
        <n v="1"/>
        <s v="Gathering and Boosting"/>
        <m/>
        <s v="Natural Gas Processing"/>
        <s v="Transmission Compressor Station"/>
        <n v="31" u="1"/>
      </sharedItems>
    </cacheField>
    <cacheField name="# of Sites" numFmtId="0">
      <sharedItems containsMixedTypes="1" containsNumber="1" minValue="6" maxValue="27489" count="9">
        <n v="27489"/>
        <s v="2, 3"/>
        <n v="570"/>
        <s v="4, 5"/>
        <n v="40"/>
        <n v="6"/>
        <n v="29"/>
        <n v="569.5" u="1"/>
        <n v="8" u="1"/>
      </sharedItems>
    </cacheField>
    <cacheField name="Device Type" numFmtId="0">
      <sharedItems containsBlank="1"/>
    </cacheField>
    <cacheField name="# Devices/site type" numFmtId="0">
      <sharedItems containsString="0" containsBlank="1" containsNumber="1" minValue="0" maxValue="14.833333333333334"/>
    </cacheField>
    <cacheField name="Total # Devices" numFmtId="0">
      <sharedItems containsString="0" containsBlank="1" containsNumber="1" minValue="0" maxValue="13024.890383535816"/>
    </cacheField>
    <cacheField name="% Devices Already Non-Emitting" numFmtId="0">
      <sharedItems containsString="0" containsBlank="1" containsNumber="1" minValue="0.2" maxValue="1"/>
    </cacheField>
    <cacheField name="Total # Emitting Devices on sites" numFmtId="0">
      <sharedItems containsString="0" containsBlank="1" containsNumber="1" minValue="0" maxValue="10419.912306828654"/>
    </cacheField>
    <cacheField name="Emissions/device (tpy VOC)" numFmtId="0">
      <sharedItems containsBlank="1" containsMixedTypes="1" containsNumber="1" minValue="6.28E-3" maxValue="1.4734"/>
    </cacheField>
    <cacheField name="Total Emissions Before Regulations (tpy VOC)" numFmtId="0">
      <sharedItems containsString="0" containsBlank="1" containsNumber="1" minValue="0" maxValue="5556.6068017130856"/>
    </cacheField>
    <cacheField name="Fraction Sites with Existing Electric" numFmtId="0">
      <sharedItems containsSemiMixedTypes="0" containsString="0" containsNumber="1" minValue="3.9E-2" maxValue="17"/>
    </cacheField>
    <cacheField name="Fraction Subject to NSPS OOOO" numFmtId="0">
      <sharedItems containsBlank="1" containsMixedTypes="1" containsNumber="1" minValue="8.3214105369466412E-2" maxValue="22"/>
    </cacheField>
    <cacheField name="Fraction Subject to NSPS OOOOa" numFmtId="0">
      <sharedItems containsBlank="1" containsMixedTypes="1" containsNumber="1" minValue="0.13452653788788244" maxValue="22"/>
    </cacheField>
    <cacheField name="Fraction That Cannot Be Replaced" numFmtId="0">
      <sharedItems containsBlank="1" containsMixedTypes="1" containsNumber="1" minValue="0.125" maxValue="26"/>
    </cacheField>
    <cacheField name=" Emissions After NSPS Regulations (tpy VOC)" numFmtId="0">
      <sharedItems containsString="0" containsBlank="1" containsNumber="1" minValue="0" maxValue="5556.6068017130856"/>
    </cacheField>
    <cacheField name="Control Technology " numFmtId="0">
      <sharedItems containsBlank="1"/>
    </cacheField>
    <cacheField name="Annual Cost per Site/Device" numFmtId="0">
      <sharedItems containsSemiMixedTypes="0" containsString="0" containsNumber="1" minValue="27" maxValue="4610.6705056980818"/>
    </cacheField>
    <cacheField name="% Reduction in Emissions Due to Controls" numFmtId="0">
      <sharedItems containsSemiMixedTypes="0" containsString="0" containsNumber="1" containsInteger="1" minValue="1" maxValue="30"/>
    </cacheField>
    <cacheField name="Choose this Control Option? _x000a_1 = Yes, 0 = No" numFmtId="0">
      <sharedItems containsString="0" containsBlank="1" containsNumber="1" containsInteger="1" minValue="1" maxValue="1"/>
    </cacheField>
    <cacheField name="Control Technology" numFmtId="0">
      <sharedItems containsBlank="1"/>
    </cacheField>
    <cacheField name="Annual Cost per Site/Device2" numFmtId="0">
      <sharedItems containsBlank="1" containsMixedTypes="1" containsNumber="1" minValue="525.61933918003331" maxValue="854.97886988254845"/>
    </cacheField>
    <cacheField name="% Reduction in Emissions Due to Controls2" numFmtId="0">
      <sharedItems containsBlank="1" containsMixedTypes="1" containsNumber="1" containsInteger="1" minValue="1" maxValue="30"/>
    </cacheField>
    <cacheField name="Choose this Control Option? _x000a_1 = Yes, 0 = No2" numFmtId="0">
      <sharedItems containsString="0" containsBlank="1" containsNumber="1" containsInteger="1" minValue="0" maxValue="1"/>
    </cacheField>
    <cacheField name="Total Cost for Control Tech - All Sites ($)" numFmtId="0">
      <sharedItems containsSemiMixedTypes="0" containsString="0" containsNumber="1" minValue="0" maxValue="8461411.4474566523"/>
    </cacheField>
    <cacheField name="Reduction in VOC Emissions Due to Control Choices (tpy)" numFmtId="0">
      <sharedItems containsSemiMixedTypes="0" containsString="0" containsNumber="1" minValue="0" maxValue="5556.6068017130856"/>
    </cacheField>
    <cacheField name="Emissions After Control Technology (tpy)" numFmtId="0">
      <sharedItems containsString="0" containsBlank="1" containsNumber="1" minValue="0" maxValue="1605.209939768554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x v="0"/>
    <x v="0"/>
    <x v="0"/>
    <s v="P. Control - Low"/>
    <n v="2.5879339783722255"/>
    <n v="52918.07398975527"/>
    <n v="0.2"/>
    <n v="42334.459191804221"/>
    <n v="0.06"/>
    <n v="2540.067551508253"/>
    <n v="0.109"/>
    <m/>
    <m/>
    <m/>
    <n v="2540.067551508253"/>
    <s v="Instrument Air"/>
    <n v="461.0670505698082"/>
    <n v="1"/>
    <n v="1"/>
    <s v="Solar electric controller"/>
    <n v="854.97886988254845"/>
    <n v="1"/>
    <n v="1"/>
    <n v="34377379.298352398"/>
    <n v="2540.067551508253"/>
    <n v="0"/>
  </r>
  <r>
    <x v="0"/>
    <x v="0"/>
    <x v="0"/>
    <s v="P. Control - Int."/>
    <n v="2.3553405425915388"/>
    <n v="48162.003414911786"/>
    <n v="0.2"/>
    <n v="38529.60273192943"/>
    <n v="0.53326809651474538"/>
    <n v="20546.607908325339"/>
    <n v="0.109"/>
    <m/>
    <m/>
    <m/>
    <n v="20546.607908325339"/>
    <s v="Instrument Air"/>
    <n v="461.0670505698082"/>
    <n v="1"/>
    <n v="1"/>
    <s v="Solar electric controller"/>
    <n v="854.97886988254845"/>
    <n v="1"/>
    <n v="1"/>
    <n v="31287674.216629647"/>
    <n v="20546.607908325339"/>
    <n v="0"/>
  </r>
  <r>
    <x v="0"/>
    <x v="0"/>
    <x v="0"/>
    <s v="P. Control - High"/>
    <n v="1.8402580155568202E-2"/>
    <n v="376.29595902105859"/>
    <n v="0.2"/>
    <n v="301.0367672168469"/>
    <n v="1.4734"/>
    <n v="443.54757281730224"/>
    <n v="0.109"/>
    <n v="2.9587245696400626E-2"/>
    <n v="1.2568466353677621E-2"/>
    <n v="0.125"/>
    <n v="429.81853203359168"/>
    <s v="Instrument Air"/>
    <n v="461.0670505698082"/>
    <n v="1"/>
    <n v="1"/>
    <s v="Solar electric controller"/>
    <n v="854.97886988254845"/>
    <n v="1"/>
    <n v="0"/>
    <n v="15128.996646737827"/>
    <n v="46.85021999166149"/>
    <n v="382.96831204193018"/>
  </r>
  <r>
    <x v="0"/>
    <x v="0"/>
    <x v="0"/>
    <s v="P. Pump"/>
    <n v="1.7738569531398216E-2"/>
    <n v="362.71826977803073"/>
    <n v="0.2"/>
    <n v="290.17461582242458"/>
    <n v="0.5253678284182306"/>
    <n v="152.44840777672155"/>
    <n v="0.109"/>
    <m/>
    <n v="1.2568466353677621E-2"/>
    <m/>
    <n v="150.62816722709877"/>
    <s v="Instrument Air"/>
    <n v="461.0670505698082"/>
    <n v="1"/>
    <n v="1"/>
    <s v="Convert to solar pump"/>
    <n v="525.61933918003331"/>
    <n v="1"/>
    <n v="0"/>
    <n v="14583.105015154502"/>
    <n v="16.418470227753765"/>
    <n v="134.209696999345"/>
  </r>
  <r>
    <x v="1"/>
    <x v="1"/>
    <x v="1"/>
    <m/>
    <n v="8"/>
    <m/>
    <m/>
    <m/>
    <s v="12, 13"/>
    <m/>
    <n v="16"/>
    <s v="18, 19, 20, 21"/>
    <s v="18, 19, 20, 21"/>
    <s v="23, 24, 25"/>
    <m/>
    <m/>
    <n v="27"/>
    <n v="30"/>
    <m/>
    <m/>
    <s v="31, 32, 33"/>
    <n v="30"/>
    <m/>
    <n v="34"/>
    <n v="34"/>
    <n v="35"/>
  </r>
  <r>
    <x v="0"/>
    <x v="2"/>
    <x v="2"/>
    <s v="P. Control - Low"/>
    <n v="2.5499999999999998"/>
    <n v="879.74999999999989"/>
    <n v="0.2"/>
    <n v="703.8"/>
    <n v="5.4906863270777477E-2"/>
    <n v="38.643450369973188"/>
    <n v="3.9E-2"/>
    <m/>
    <m/>
    <m/>
    <n v="38.643450369973188"/>
    <s v="Instrument Air"/>
    <n v="461.0670505698082"/>
    <n v="1"/>
    <n v="1"/>
    <s v="Solar electric controller"/>
    <n v="854.97886988254845"/>
    <n v="1"/>
    <n v="1"/>
    <n v="590921.9582244776"/>
    <n v="38.643450369973188"/>
    <n v="0"/>
  </r>
  <r>
    <x v="0"/>
    <x v="2"/>
    <x v="2"/>
    <s v="P. Control - Int."/>
    <n v="8.045454545454545"/>
    <n v="2775.681818181818"/>
    <n v="0.2"/>
    <n v="2220.5454545454545"/>
    <n v="0.53326809651474538"/>
    <n v="1184.1460477699245"/>
    <n v="3.9E-2"/>
    <m/>
    <m/>
    <m/>
    <n v="1184.1460477699245"/>
    <s v="Instrument Air"/>
    <n v="461.0670505698082"/>
    <n v="1"/>
    <n v="1"/>
    <s v="Solar electric controller"/>
    <n v="854.97886988254845"/>
    <n v="1"/>
    <n v="0"/>
    <n v="39928.993391955206"/>
    <n v="46.181695863027059"/>
    <n v="1137.9643519068975"/>
  </r>
  <r>
    <x v="0"/>
    <x v="2"/>
    <x v="2"/>
    <s v="P. Control - High"/>
    <n v="1.2045454545454546"/>
    <n v="415.56818181818181"/>
    <n v="0.2"/>
    <n v="332.4545454545455"/>
    <n v="1.4734"/>
    <n v="489.83852727272733"/>
    <n v="3.9E-2"/>
    <n v="4.041827975088369E-2"/>
    <n v="0.16192560175054704"/>
    <n v="0.125"/>
    <n v="417.06279632171459"/>
    <s v="Instrument Air"/>
    <n v="461.0670505698082"/>
    <n v="1"/>
    <n v="1"/>
    <s v="Solar electric controller"/>
    <n v="854.97886988254845"/>
    <n v="1"/>
    <n v="1"/>
    <n v="279134.2583413308"/>
    <n v="417.06279632171459"/>
    <n v="0"/>
  </r>
  <r>
    <x v="0"/>
    <x v="2"/>
    <x v="2"/>
    <s v="P. Pump"/>
    <n v="0.5636363636363636"/>
    <n v="194.45454545454544"/>
    <n v="0.2"/>
    <n v="155.56363636363636"/>
    <n v="0.5253678284182306"/>
    <n v="81.72812981720692"/>
    <n v="3.9E-2"/>
    <m/>
    <m/>
    <m/>
    <n v="81.72812981720692"/>
    <s v="Instrument Air"/>
    <n v="461.0670505698082"/>
    <n v="1"/>
    <n v="1"/>
    <s v="Convert to solar pump"/>
    <n v="525.61933918003331"/>
    <n v="1"/>
    <n v="1"/>
    <n v="81375.618184577281"/>
    <n v="81.72812981720692"/>
    <n v="0"/>
  </r>
  <r>
    <x v="1"/>
    <x v="3"/>
    <x v="3"/>
    <m/>
    <n v="9"/>
    <m/>
    <m/>
    <m/>
    <s v="12, 14"/>
    <m/>
    <n v="16"/>
    <n v="22"/>
    <n v="22"/>
    <s v="23, 24, 25"/>
    <m/>
    <m/>
    <n v="27"/>
    <n v="30"/>
    <m/>
    <m/>
    <s v="31, 32, 33"/>
    <n v="30"/>
    <m/>
    <n v="34"/>
    <n v="34"/>
    <n v="35"/>
  </r>
  <r>
    <x v="0"/>
    <x v="4"/>
    <x v="4"/>
    <s v="P. Control - Low"/>
    <n v="0"/>
    <n v="0"/>
    <n v="1"/>
    <n v="0"/>
    <m/>
    <n v="0"/>
    <n v="1"/>
    <n v="0.25"/>
    <n v="0.625"/>
    <m/>
    <n v="0"/>
    <s v="Instrument Air"/>
    <n v="4610.6705056980818"/>
    <n v="1"/>
    <n v="1"/>
    <s v="NA"/>
    <s v="NA"/>
    <s v="NA"/>
    <m/>
    <n v="0"/>
    <n v="0"/>
    <n v="0"/>
  </r>
  <r>
    <x v="0"/>
    <x v="4"/>
    <x v="4"/>
    <s v="P. Control - Int."/>
    <n v="0"/>
    <n v="0"/>
    <n v="1"/>
    <n v="0"/>
    <m/>
    <n v="0"/>
    <n v="1"/>
    <m/>
    <m/>
    <m/>
    <n v="0"/>
    <s v="Instrument Air"/>
    <n v="4610.6705056980818"/>
    <n v="1"/>
    <n v="1"/>
    <s v="NA"/>
    <s v="NA"/>
    <s v="NA"/>
    <m/>
    <n v="0"/>
    <n v="0"/>
    <n v="0"/>
  </r>
  <r>
    <x v="0"/>
    <x v="4"/>
    <x v="4"/>
    <s v="P. Control - High"/>
    <n v="0"/>
    <n v="0"/>
    <n v="1"/>
    <n v="0"/>
    <m/>
    <n v="0"/>
    <n v="1"/>
    <n v="0.25"/>
    <n v="0.625"/>
    <n v="0.125"/>
    <n v="0"/>
    <s v="Instrument Air"/>
    <n v="4610.6705056980818"/>
    <n v="1"/>
    <n v="1"/>
    <s v="NA"/>
    <s v="NA"/>
    <s v="NA"/>
    <m/>
    <n v="0"/>
    <n v="0"/>
    <n v="0"/>
  </r>
  <r>
    <x v="0"/>
    <x v="4"/>
    <x v="4"/>
    <s v="P. Pump"/>
    <n v="0"/>
    <n v="0"/>
    <n v="1"/>
    <n v="0"/>
    <m/>
    <n v="0"/>
    <n v="1"/>
    <m/>
    <n v="0.625"/>
    <m/>
    <n v="0"/>
    <s v="Instrument Air"/>
    <n v="4610.6705056980818"/>
    <n v="1"/>
    <n v="1"/>
    <s v="NA"/>
    <s v="NA"/>
    <s v="NA"/>
    <m/>
    <n v="0"/>
    <n v="0"/>
    <n v="0"/>
  </r>
  <r>
    <x v="1"/>
    <x v="3"/>
    <x v="5"/>
    <m/>
    <n v="10"/>
    <m/>
    <m/>
    <m/>
    <m/>
    <m/>
    <n v="17"/>
    <n v="22"/>
    <n v="22"/>
    <n v="26"/>
    <m/>
    <m/>
    <n v="28"/>
    <n v="30"/>
    <m/>
    <m/>
    <m/>
    <m/>
    <m/>
    <n v="34"/>
    <n v="34"/>
    <m/>
  </r>
  <r>
    <x v="0"/>
    <x v="5"/>
    <x v="6"/>
    <s v="P. Control - Low"/>
    <n v="0.16666666666666666"/>
    <n v="6.5"/>
    <n v="0.2"/>
    <n v="5.2"/>
    <n v="6.28E-3"/>
    <n v="3.2656000000000004E-2"/>
    <n v="1"/>
    <m/>
    <m/>
    <m/>
    <n v="3.2656000000000004E-2"/>
    <s v="Instrument Air"/>
    <n v="461.0670505698082"/>
    <n v="1"/>
    <n v="1"/>
    <s v="NA"/>
    <s v="NA"/>
    <s v="NA"/>
    <m/>
    <n v="2397.5486629630027"/>
    <n v="3.2656000000000004E-2"/>
    <n v="0"/>
  </r>
  <r>
    <x v="0"/>
    <x v="5"/>
    <x v="6"/>
    <s v="P. Control - Int."/>
    <n v="14.833333333333334"/>
    <n v="578.5"/>
    <n v="0.2"/>
    <n v="462.8"/>
    <n v="9.4408203753351211E-2"/>
    <n v="43.692116697050942"/>
    <n v="1"/>
    <m/>
    <m/>
    <m/>
    <n v="43.692116697050942"/>
    <s v="Instrument Air"/>
    <n v="461.0670505698082"/>
    <n v="1"/>
    <n v="1"/>
    <s v="NA"/>
    <s v="NA"/>
    <s v="NA"/>
    <m/>
    <n v="213381.83100370725"/>
    <n v="43.692116697050942"/>
    <n v="0"/>
  </r>
  <r>
    <x v="0"/>
    <x v="5"/>
    <x v="6"/>
    <s v="P. Control - High"/>
    <n v="0.41666666666666669"/>
    <n v="16.25"/>
    <n v="0.2"/>
    <n v="13"/>
    <n v="8.3000000000000004E-2"/>
    <n v="1.079"/>
    <n v="1"/>
    <n v="0.15384615384615385"/>
    <n v="0.84615384615384615"/>
    <n v="0.125"/>
    <n v="0.40863036193029489"/>
    <s v="Instrument Air"/>
    <n v="461.0670505698082"/>
    <n v="1"/>
    <n v="1"/>
    <s v="NA"/>
    <s v="NA"/>
    <s v="NA"/>
    <m/>
    <n v="5993.871657407507"/>
    <n v="0.40863036193029489"/>
    <n v="0"/>
  </r>
  <r>
    <x v="0"/>
    <x v="5"/>
    <x v="6"/>
    <s v="P. Pump"/>
    <m/>
    <n v="0"/>
    <n v="0.2"/>
    <n v="0"/>
    <m/>
    <n v="0"/>
    <n v="1"/>
    <m/>
    <m/>
    <m/>
    <n v="0"/>
    <s v="Instrument Air"/>
    <n v="461.0670505698082"/>
    <n v="1"/>
    <n v="1"/>
    <s v="NA"/>
    <s v="NA"/>
    <s v="NA"/>
    <m/>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x v="0"/>
    <x v="0"/>
    <x v="0"/>
    <s v="P. Control - Low"/>
    <n v="0.43602969992903368"/>
    <n v="11986.020421349207"/>
    <n v="0.2"/>
    <n v="9588.8163370793663"/>
    <n v="0.06"/>
    <n v="575.32898022476195"/>
    <n v="0.109"/>
    <m/>
    <m/>
    <m/>
    <n v="575.32898022476195"/>
    <s v="Instrument Air"/>
    <n v="461.0670505698082"/>
    <n v="1"/>
    <n v="1"/>
    <s v="Solar electric controller"/>
    <n v="854.97886988254845"/>
    <n v="1"/>
    <n v="1"/>
    <n v="7786526.2137524178"/>
    <n v="575.32898022476195"/>
    <n v="0"/>
  </r>
  <r>
    <x v="0"/>
    <x v="0"/>
    <x v="0"/>
    <s v="P. Control - Int."/>
    <n v="0.47382190634565885"/>
    <n v="13024.890383535816"/>
    <n v="0.2"/>
    <n v="10419.912306828654"/>
    <n v="0.53326809651474538"/>
    <n v="5556.6068017130856"/>
    <n v="0.109"/>
    <m/>
    <m/>
    <m/>
    <n v="5556.6068017130856"/>
    <s v="Instrument Air"/>
    <n v="461.0670505698082"/>
    <n v="1"/>
    <n v="1"/>
    <s v="Solar electric controller"/>
    <n v="854.97886988254845"/>
    <n v="1"/>
    <n v="1"/>
    <n v="8461411.4474566523"/>
    <n v="5556.6068017130856"/>
    <n v="0"/>
  </r>
  <r>
    <x v="0"/>
    <x v="0"/>
    <x v="0"/>
    <s v="P. Control - High"/>
    <n v="2.0887396595735665E-2"/>
    <n v="574.17364502017767"/>
    <n v="0.2"/>
    <n v="459.33891601614215"/>
    <n v="1.4734"/>
    <n v="676.78995885818381"/>
    <n v="0.109"/>
    <n v="0.1484593837535014"/>
    <n v="0.13452653788788244"/>
    <n v="0.125"/>
    <n v="536.16503650199343"/>
    <s v="Instrument Air"/>
    <n v="461.0670505698082"/>
    <n v="1"/>
    <n v="1"/>
    <s v="Solar electric controller"/>
    <n v="854.97886988254845"/>
    <n v="1"/>
    <n v="1"/>
    <n v="373002.71324684843"/>
    <n v="536.16503650199343"/>
    <n v="0"/>
  </r>
  <r>
    <x v="0"/>
    <x v="0"/>
    <x v="0"/>
    <s v="P. Pump"/>
    <n v="2.9350393492283737E-2"/>
    <n v="806.81296670938764"/>
    <n v="0.2"/>
    <n v="645.45037336751011"/>
    <n v="0.5253678284182306"/>
    <n v="339.09886100782495"/>
    <n v="0.109"/>
    <m/>
    <n v="0.13452653788788244"/>
    <m/>
    <n v="295.76195502337339"/>
    <s v="Instrument Air"/>
    <n v="461.0670505698082"/>
    <n v="1"/>
    <n v="1"/>
    <s v="Convert to solar pump"/>
    <n v="525.61933918003331"/>
    <n v="1"/>
    <n v="1"/>
    <n v="334719.68115534994"/>
    <n v="295.76195502337339"/>
    <n v="0"/>
  </r>
  <r>
    <x v="1"/>
    <x v="1"/>
    <x v="1"/>
    <m/>
    <n v="8"/>
    <m/>
    <m/>
    <m/>
    <s v="12, 13"/>
    <m/>
    <n v="16"/>
    <s v="18, 19, 20, 21"/>
    <s v="18, 19, 20, 21"/>
    <s v="23, 24, 25"/>
    <m/>
    <m/>
    <n v="27"/>
    <n v="30"/>
    <m/>
    <m/>
    <s v="31, 32, 33"/>
    <n v="30"/>
    <m/>
    <n v="34"/>
    <n v="34"/>
    <n v="35"/>
  </r>
  <r>
    <x v="0"/>
    <x v="2"/>
    <x v="2"/>
    <s v="P. Control - Low"/>
    <n v="4.1092896174863389"/>
    <n v="2342.2950819672133"/>
    <n v="0.2"/>
    <n v="1873.8360655737706"/>
    <n v="5.4906863270777477E-2"/>
    <n v="102.88646064431065"/>
    <n v="3.9E-2"/>
    <m/>
    <m/>
    <m/>
    <n v="102.88646064431065"/>
    <s v="Instrument Air"/>
    <n v="461.0670505698082"/>
    <n v="1"/>
    <n v="1"/>
    <s v="Solar electric controller"/>
    <n v="854.97886988254845"/>
    <n v="1"/>
    <n v="1"/>
    <n v="1573303.3209157479"/>
    <n v="102.88646064431065"/>
    <n v="0"/>
  </r>
  <r>
    <x v="0"/>
    <x v="2"/>
    <x v="2"/>
    <s v="P. Control - Int."/>
    <n v="6.8690710382513664"/>
    <n v="3915.370491803279"/>
    <n v="0.2"/>
    <n v="3132.2963934426234"/>
    <n v="0.53326809651474538"/>
    <n v="1670.3537354511498"/>
    <n v="3.9E-2"/>
    <m/>
    <m/>
    <m/>
    <n v="1670.3537354511498"/>
    <s v="Instrument Air"/>
    <n v="461.0670505698082"/>
    <n v="1"/>
    <n v="1"/>
    <s v="Solar electric controller"/>
    <n v="854.97886988254845"/>
    <n v="1"/>
    <n v="0"/>
    <n v="56323.74772576648"/>
    <n v="65.143795682594842"/>
    <n v="1605.2099397685549"/>
  </r>
  <r>
    <x v="0"/>
    <x v="2"/>
    <x v="2"/>
    <s v="P. Control - High"/>
    <n v="0.26273224043715848"/>
    <n v="149.75737704918035"/>
    <n v="0.2"/>
    <n v="119.80590163934428"/>
    <n v="1.4734"/>
    <n v="176.52201547540989"/>
    <n v="3.9E-2"/>
    <n v="8.3214105369466412E-2"/>
    <n v="0.32385120350109409"/>
    <n v="0.125"/>
    <n v="123.76180389513981"/>
    <s v="Instrument Air"/>
    <n v="461.0670505698082"/>
    <n v="1"/>
    <n v="1"/>
    <s v="Solar electric controller"/>
    <n v="854.97886988254845"/>
    <n v="1"/>
    <n v="1"/>
    <n v="100590.9889223792"/>
    <n v="123.76180389513979"/>
    <n v="0"/>
  </r>
  <r>
    <x v="0"/>
    <x v="2"/>
    <x v="2"/>
    <s v="P. Pump"/>
    <n v="1.1715846994535519"/>
    <n v="667.80327868852464"/>
    <n v="0.2"/>
    <n v="534.24262295081974"/>
    <n v="0.5253678284182306"/>
    <n v="280.67388666813173"/>
    <n v="3.9E-2"/>
    <m/>
    <m/>
    <m/>
    <n v="280.67388666813173"/>
    <s v="Instrument Air"/>
    <n v="461.0670505698082"/>
    <n v="1"/>
    <n v="1"/>
    <s v="Convert to solar pump"/>
    <n v="525.61933918003331"/>
    <n v="1"/>
    <n v="1"/>
    <n v="279463.27766181791"/>
    <n v="280.67388666813173"/>
    <n v="0"/>
  </r>
  <r>
    <x v="1"/>
    <x v="3"/>
    <x v="3"/>
    <m/>
    <n v="9"/>
    <m/>
    <m/>
    <m/>
    <s v="12, 14"/>
    <m/>
    <n v="16"/>
    <n v="22"/>
    <n v="22"/>
    <s v="23, 24, 25"/>
    <m/>
    <m/>
    <n v="27"/>
    <n v="30"/>
    <m/>
    <m/>
    <s v="31, 32, 33"/>
    <n v="30"/>
    <m/>
    <n v="34"/>
    <n v="34"/>
    <n v="35"/>
  </r>
  <r>
    <x v="0"/>
    <x v="4"/>
    <x v="4"/>
    <s v="P. Control - Low"/>
    <n v="0"/>
    <n v="0"/>
    <n v="1"/>
    <n v="0"/>
    <m/>
    <n v="0"/>
    <n v="1"/>
    <n v="0.17499999999999999"/>
    <n v="0.6"/>
    <m/>
    <n v="0"/>
    <s v="Instrument Air"/>
    <n v="4610.6705056980818"/>
    <n v="1"/>
    <n v="1"/>
    <s v="NA"/>
    <s v="NA"/>
    <s v="NA"/>
    <m/>
    <n v="0"/>
    <n v="0"/>
    <n v="0"/>
  </r>
  <r>
    <x v="0"/>
    <x v="4"/>
    <x v="4"/>
    <s v="P. Control - Int."/>
    <n v="0"/>
    <n v="0"/>
    <n v="1"/>
    <n v="0"/>
    <m/>
    <n v="0"/>
    <n v="1"/>
    <m/>
    <m/>
    <m/>
    <n v="0"/>
    <s v="Instrument Air"/>
    <n v="4610.6705056980818"/>
    <n v="1"/>
    <n v="1"/>
    <s v="NA"/>
    <s v="NA"/>
    <s v="NA"/>
    <m/>
    <n v="0"/>
    <n v="0"/>
    <n v="0"/>
  </r>
  <r>
    <x v="0"/>
    <x v="4"/>
    <x v="4"/>
    <s v="P. Control - High"/>
    <n v="0"/>
    <n v="0"/>
    <n v="1"/>
    <n v="0"/>
    <m/>
    <n v="0"/>
    <n v="1"/>
    <n v="0.17499999999999999"/>
    <n v="0.6"/>
    <n v="0.125"/>
    <n v="0"/>
    <s v="Instrument Air"/>
    <n v="4610.6705056980818"/>
    <n v="1"/>
    <n v="1"/>
    <s v="NA"/>
    <s v="NA"/>
    <s v="NA"/>
    <m/>
    <n v="0"/>
    <n v="0"/>
    <n v="0"/>
  </r>
  <r>
    <x v="0"/>
    <x v="4"/>
    <x v="4"/>
    <s v="P. Pump"/>
    <n v="0"/>
    <n v="0"/>
    <n v="1"/>
    <n v="0"/>
    <m/>
    <n v="0"/>
    <n v="1"/>
    <m/>
    <n v="0.6"/>
    <m/>
    <n v="0"/>
    <s v="Instrument Air"/>
    <n v="4610.6705056980818"/>
    <n v="1"/>
    <n v="1"/>
    <s v="NA"/>
    <s v="NA"/>
    <s v="NA"/>
    <m/>
    <n v="0"/>
    <n v="0"/>
    <n v="0"/>
  </r>
  <r>
    <x v="1"/>
    <x v="3"/>
    <x v="5"/>
    <m/>
    <n v="10"/>
    <m/>
    <m/>
    <m/>
    <m/>
    <m/>
    <n v="17"/>
    <n v="22"/>
    <n v="22"/>
    <n v="26"/>
    <m/>
    <m/>
    <n v="28"/>
    <n v="30"/>
    <m/>
    <m/>
    <m/>
    <m/>
    <m/>
    <n v="34"/>
    <n v="34"/>
    <m/>
  </r>
  <r>
    <x v="0"/>
    <x v="5"/>
    <x v="6"/>
    <s v="P. Control - Low"/>
    <n v="0.16666666666666666"/>
    <n v="4.833333333333333"/>
    <n v="0.2"/>
    <n v="3.8666666666666667"/>
    <n v="6.28E-3"/>
    <n v="2.4282666666666668E-2"/>
    <n v="1"/>
    <m/>
    <m/>
    <m/>
    <n v="2.4282666666666668E-2"/>
    <s v="Instrument Air"/>
    <n v="461.0670505698082"/>
    <n v="1"/>
    <n v="1"/>
    <s v="NA"/>
    <s v="NA"/>
    <s v="NA"/>
    <m/>
    <n v="1782.7925955365918"/>
    <n v="2.4282666666666668E-2"/>
    <n v="0"/>
  </r>
  <r>
    <x v="0"/>
    <x v="5"/>
    <x v="6"/>
    <s v="P. Control - Int."/>
    <n v="14.833333333333334"/>
    <n v="430.16666666666669"/>
    <n v="0.2"/>
    <n v="344.13333333333338"/>
    <n v="9.4408203753351211E-2"/>
    <n v="32.489009851653265"/>
    <n v="1"/>
    <m/>
    <m/>
    <m/>
    <n v="32.489009851653265"/>
    <s v="Instrument Air"/>
    <n v="461.0670505698082"/>
    <n v="1"/>
    <n v="1"/>
    <s v="NA"/>
    <s v="NA"/>
    <s v="NA"/>
    <m/>
    <n v="158668.54100275668"/>
    <n v="32.489009851653265"/>
    <n v="0"/>
  </r>
  <r>
    <x v="0"/>
    <x v="5"/>
    <x v="6"/>
    <s v="P. Control - High"/>
    <n v="0.41666666666666669"/>
    <n v="12.083333333333334"/>
    <n v="0.2"/>
    <n v="9.6666666666666679"/>
    <n v="8.3000000000000004E-2"/>
    <n v="0.80233333333333345"/>
    <n v="1"/>
    <n v="0.20689655172413793"/>
    <n v="0.7931034482758621"/>
    <n v="0.125"/>
    <n v="0.33510600983020561"/>
    <s v="Instrument Air"/>
    <n v="461.0670505698082"/>
    <n v="1"/>
    <n v="1"/>
    <s v="NA"/>
    <s v="NA"/>
    <s v="NA"/>
    <m/>
    <n v="4456.9814888414794"/>
    <n v="0.33510600983020561"/>
    <n v="0"/>
  </r>
  <r>
    <x v="0"/>
    <x v="5"/>
    <x v="6"/>
    <s v="P. Pump"/>
    <m/>
    <n v="0"/>
    <n v="0.2"/>
    <n v="0"/>
    <m/>
    <n v="0"/>
    <n v="1"/>
    <m/>
    <m/>
    <m/>
    <n v="0"/>
    <s v="Instrument Air"/>
    <n v="461.0670505698082"/>
    <n v="1"/>
    <n v="1"/>
    <s v="NA"/>
    <s v="NA"/>
    <s v="NA"/>
    <m/>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41E873C-53DA-4C2B-9173-2EA051531754}" name="PivotTable2" cacheId="0" applyNumberFormats="0" applyBorderFormats="0" applyFontFormats="0" applyPatternFormats="0" applyAlignmentFormats="0" applyWidthHeightFormats="1" dataCaption="Values" grandTotalCaption="Total" updatedVersion="7" minRefreshableVersion="3" useAutoFormatting="1" itemPrintTitles="1" createdVersion="7" indent="0" compact="0" compactData="0" multipleFieldFilters="0">
  <location ref="A15:D21" firstHeaderRow="1" firstDataRow="1" firstDataCol="3"/>
  <pivotFields count="26">
    <pivotField axis="axisRow" compact="0" outline="0" showAll="0" defaultSubtotal="0">
      <items count="2">
        <item sd="0" x="1"/>
        <item x="0"/>
      </items>
    </pivotField>
    <pivotField axis="axisRow" compact="0" outline="0" showAll="0" defaultSubtotal="0">
      <items count="7">
        <item m="1" x="6"/>
        <item x="2"/>
        <item x="4"/>
        <item x="5"/>
        <item x="3"/>
        <item x="0"/>
        <item x="1"/>
      </items>
    </pivotField>
    <pivotField axis="axisRow" compact="0" outline="0" showAll="0" defaultSubtotal="0">
      <items count="8">
        <item x="4"/>
        <item x="6"/>
        <item m="1" x="7"/>
        <item x="0"/>
        <item x="2"/>
        <item x="1"/>
        <item x="3"/>
        <item x="5"/>
      </items>
    </pivotField>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3">
    <field x="0"/>
    <field x="1"/>
    <field x="2"/>
  </rowFields>
  <rowItems count="6">
    <i>
      <x/>
    </i>
    <i>
      <x v="1"/>
      <x v="1"/>
      <x v="4"/>
    </i>
    <i r="1">
      <x v="2"/>
      <x/>
    </i>
    <i r="1">
      <x v="3"/>
      <x v="1"/>
    </i>
    <i r="1">
      <x v="5"/>
      <x v="3"/>
    </i>
    <i t="grand">
      <x/>
    </i>
  </rowItems>
  <colItems count="1">
    <i/>
  </colItems>
  <dataFields count="1">
    <dataField name="Sum of  Emissions After NSPS Regulations (tpy VOC)" fld="14" baseField="0" baseItem="0" numFmtId="174"/>
  </dataFields>
  <formats count="24">
    <format dxfId="23">
      <pivotArea type="all" dataOnly="0" outline="0" fieldPosition="0"/>
    </format>
    <format dxfId="22">
      <pivotArea outline="0" collapsedLevelsAreSubtotals="1" fieldPosition="0"/>
    </format>
    <format dxfId="21">
      <pivotArea field="0" type="button" dataOnly="0" labelOnly="1" outline="0" axis="axisRow" fieldPosition="0"/>
    </format>
    <format dxfId="20">
      <pivotArea field="1" type="button" dataOnly="0" labelOnly="1" outline="0" axis="axisRow" fieldPosition="1"/>
    </format>
    <format dxfId="19">
      <pivotArea field="2" type="button" dataOnly="0" labelOnly="1" outline="0" axis="axisRow" fieldPosition="2"/>
    </format>
    <format dxfId="18">
      <pivotArea dataOnly="0" labelOnly="1" outline="0" fieldPosition="0">
        <references count="1">
          <reference field="0" count="0"/>
        </references>
      </pivotArea>
    </format>
    <format dxfId="17">
      <pivotArea dataOnly="0" labelOnly="1" grandRow="1" outline="0" fieldPosition="0"/>
    </format>
    <format dxfId="16">
      <pivotArea dataOnly="0" labelOnly="1" outline="0" fieldPosition="0">
        <references count="2">
          <reference field="0" count="1" selected="0">
            <x v="0"/>
          </reference>
          <reference field="1" count="2">
            <x v="0"/>
            <x v="4"/>
          </reference>
        </references>
      </pivotArea>
    </format>
    <format dxfId="15">
      <pivotArea dataOnly="0" labelOnly="1" outline="0" fieldPosition="0">
        <references count="2">
          <reference field="0" count="1" selected="0">
            <x v="1"/>
          </reference>
          <reference field="1" count="3">
            <x v="1"/>
            <x v="2"/>
            <x v="3"/>
          </reference>
        </references>
      </pivotArea>
    </format>
    <format dxfId="14">
      <pivotArea dataOnly="0" labelOnly="1" outline="0" fieldPosition="0">
        <references count="3">
          <reference field="0" count="1" selected="0">
            <x v="0"/>
          </reference>
          <reference field="1" count="1" selected="0">
            <x v="4"/>
          </reference>
          <reference field="2" count="1">
            <x v="0"/>
          </reference>
        </references>
      </pivotArea>
    </format>
    <format dxfId="13">
      <pivotArea dataOnly="0" labelOnly="1" outline="0" fieldPosition="0">
        <references count="3">
          <reference field="0" count="1" selected="0">
            <x v="1"/>
          </reference>
          <reference field="1" count="1" selected="0">
            <x v="1"/>
          </reference>
          <reference field="2" count="1">
            <x v="2"/>
          </reference>
        </references>
      </pivotArea>
    </format>
    <format dxfId="12">
      <pivotArea dataOnly="0" labelOnly="1" outline="0" fieldPosition="0">
        <references count="3">
          <reference field="0" count="1" selected="0">
            <x v="1"/>
          </reference>
          <reference field="1" count="1" selected="0">
            <x v="2"/>
          </reference>
          <reference field="2" count="1">
            <x v="0"/>
          </reference>
        </references>
      </pivotArea>
    </format>
    <format dxfId="11">
      <pivotArea dataOnly="0" labelOnly="1" outline="0" fieldPosition="0">
        <references count="3">
          <reference field="0" count="1" selected="0">
            <x v="1"/>
          </reference>
          <reference field="1" count="1" selected="0">
            <x v="3"/>
          </reference>
          <reference field="2" count="1">
            <x v="1"/>
          </reference>
        </references>
      </pivotArea>
    </format>
    <format dxfId="10">
      <pivotArea dataOnly="0" labelOnly="1" outline="0" fieldPosition="0">
        <references count="1">
          <reference field="4294967294" count="1">
            <x v="0"/>
          </reference>
        </references>
      </pivotArea>
    </format>
    <format dxfId="9">
      <pivotArea outline="0" fieldPosition="0">
        <references count="4">
          <reference field="4294967294" count="1" selected="0">
            <x v="0"/>
          </reference>
          <reference field="0" count="1" selected="0">
            <x v="1"/>
          </reference>
          <reference field="1" count="3" selected="0">
            <x v="1"/>
            <x v="2"/>
            <x v="3"/>
          </reference>
          <reference field="2" count="4" selected="0">
            <x v="0"/>
            <x v="1"/>
            <x v="3"/>
            <x v="4"/>
          </reference>
        </references>
      </pivotArea>
    </format>
    <format dxfId="8">
      <pivotArea field="0" grandRow="1" outline="0" axis="axisRow" fieldPosition="0">
        <references count="1">
          <reference field="4294967294" count="1" selected="0">
            <x v="0"/>
          </reference>
        </references>
      </pivotArea>
    </format>
    <format dxfId="7">
      <pivotArea dataOnly="0" labelOnly="1" outline="0" axis="axisValues" fieldPosition="0"/>
    </format>
    <format dxfId="6">
      <pivotArea outline="0" fieldPosition="0">
        <references count="3">
          <reference field="0" count="1" selected="0">
            <x v="1"/>
          </reference>
          <reference field="1" count="1" selected="0">
            <x v="5"/>
          </reference>
          <reference field="2" count="1" selected="0">
            <x v="3"/>
          </reference>
        </references>
      </pivotArea>
    </format>
    <format dxfId="5">
      <pivotArea dataOnly="0" labelOnly="1" outline="0" fieldPosition="0">
        <references count="3">
          <reference field="0" count="1" selected="0">
            <x v="1"/>
          </reference>
          <reference field="1" count="1" selected="0">
            <x v="5"/>
          </reference>
          <reference field="2" count="1">
            <x v="3"/>
          </reference>
        </references>
      </pivotArea>
    </format>
    <format dxfId="4">
      <pivotArea outline="0" fieldPosition="0">
        <references count="3">
          <reference field="0" count="1" selected="0">
            <x v="1"/>
          </reference>
          <reference field="1" count="4" selected="0">
            <x v="1"/>
            <x v="2"/>
            <x v="3"/>
            <x v="5"/>
          </reference>
          <reference field="2" count="4" selected="0">
            <x v="0"/>
            <x v="1"/>
            <x v="3"/>
            <x v="4"/>
          </reference>
        </references>
      </pivotArea>
    </format>
    <format dxfId="3">
      <pivotArea grandRow="1" outline="0" collapsedLevelsAreSubtotals="1" fieldPosition="0"/>
    </format>
    <format dxfId="2">
      <pivotArea outline="0" fieldPosition="0">
        <references count="3">
          <reference field="0" count="1" selected="0">
            <x v="1"/>
          </reference>
          <reference field="1" count="1" selected="0">
            <x v="2"/>
          </reference>
          <reference field="2" count="1" selected="0">
            <x v="0"/>
          </reference>
        </references>
      </pivotArea>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138E6A3-A0B8-4CA9-9999-2A60ABDFDDFC}" name="PivotTable1" cacheId="1"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D9" firstHeaderRow="1" firstDataRow="1" firstDataCol="3"/>
  <pivotFields count="26">
    <pivotField axis="axisRow" compact="0" outline="0" showAll="0" defaultSubtotal="0">
      <items count="2">
        <item sd="0" x="1"/>
        <item x="0"/>
      </items>
    </pivotField>
    <pivotField axis="axisRow" compact="0" outline="0" showAll="0" defaultSubtotal="0">
      <items count="7">
        <item m="1" x="6"/>
        <item x="2"/>
        <item x="4"/>
        <item x="5"/>
        <item x="3"/>
        <item x="0"/>
        <item x="1"/>
      </items>
    </pivotField>
    <pivotField axis="axisRow" compact="0" outline="0" showAll="0" defaultSubtotal="0">
      <items count="9">
        <item m="1" x="8"/>
        <item x="6"/>
        <item x="4"/>
        <item m="1" x="7"/>
        <item x="0"/>
        <item x="2"/>
        <item x="1"/>
        <item x="3"/>
        <item x="5"/>
      </items>
    </pivotField>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3">
    <field x="0"/>
    <field x="1"/>
    <field x="2"/>
  </rowFields>
  <rowItems count="6">
    <i>
      <x/>
    </i>
    <i>
      <x v="1"/>
      <x v="1"/>
      <x v="5"/>
    </i>
    <i r="1">
      <x v="2"/>
      <x v="2"/>
    </i>
    <i r="1">
      <x v="3"/>
      <x v="1"/>
    </i>
    <i r="1">
      <x v="5"/>
      <x v="4"/>
    </i>
    <i t="grand">
      <x/>
    </i>
  </rowItems>
  <colItems count="1">
    <i/>
  </colItems>
  <dataFields count="1">
    <dataField name="Sum of  Emissions After NSPS Regulations (tpy VOC)" fld="14" baseField="0" baseItem="0" numFmtId="174"/>
  </dataFields>
  <formats count="20">
    <format dxfId="43">
      <pivotArea outline="0" collapsedLevelsAreSubtotals="1" fieldPosition="0">
        <references count="1">
          <reference field="4294967294" count="1" selected="0">
            <x v="0"/>
          </reference>
        </references>
      </pivotArea>
    </format>
    <format dxfId="42">
      <pivotArea type="all" dataOnly="0" outline="0" fieldPosition="0"/>
    </format>
    <format dxfId="41">
      <pivotArea outline="0" collapsedLevelsAreSubtotals="1" fieldPosition="0"/>
    </format>
    <format dxfId="40">
      <pivotArea field="0" type="button" dataOnly="0" labelOnly="1" outline="0" axis="axisRow" fieldPosition="0"/>
    </format>
    <format dxfId="39">
      <pivotArea field="1" type="button" dataOnly="0" labelOnly="1" outline="0" axis="axisRow" fieldPosition="1"/>
    </format>
    <format dxfId="38">
      <pivotArea field="2" type="button" dataOnly="0" labelOnly="1" outline="0" axis="axisRow" fieldPosition="2"/>
    </format>
    <format dxfId="37">
      <pivotArea dataOnly="0" labelOnly="1" outline="0" fieldPosition="0">
        <references count="1">
          <reference field="0" count="0"/>
        </references>
      </pivotArea>
    </format>
    <format dxfId="36">
      <pivotArea dataOnly="0" labelOnly="1" grandRow="1" outline="0" fieldPosition="0"/>
    </format>
    <format dxfId="35">
      <pivotArea dataOnly="0" labelOnly="1" outline="0" fieldPosition="0">
        <references count="2">
          <reference field="0" count="1" selected="0">
            <x v="0"/>
          </reference>
          <reference field="1" count="2">
            <x v="0"/>
            <x v="4"/>
          </reference>
        </references>
      </pivotArea>
    </format>
    <format dxfId="34">
      <pivotArea dataOnly="0" labelOnly="1" outline="0" fieldPosition="0">
        <references count="2">
          <reference field="0" count="1" selected="0">
            <x v="1"/>
          </reference>
          <reference field="1" count="3">
            <x v="1"/>
            <x v="2"/>
            <x v="3"/>
          </reference>
        </references>
      </pivotArea>
    </format>
    <format dxfId="33">
      <pivotArea dataOnly="0" labelOnly="1" outline="0" fieldPosition="0">
        <references count="3">
          <reference field="0" count="1" selected="0">
            <x v="0"/>
          </reference>
          <reference field="1" count="1" selected="0">
            <x v="4"/>
          </reference>
          <reference field="2" count="1">
            <x v="0"/>
          </reference>
        </references>
      </pivotArea>
    </format>
    <format dxfId="32">
      <pivotArea dataOnly="0" labelOnly="1" outline="0" fieldPosition="0">
        <references count="3">
          <reference field="0" count="1" selected="0">
            <x v="1"/>
          </reference>
          <reference field="1" count="1" selected="0">
            <x v="1"/>
          </reference>
          <reference field="2" count="1">
            <x v="3"/>
          </reference>
        </references>
      </pivotArea>
    </format>
    <format dxfId="31">
      <pivotArea dataOnly="0" labelOnly="1" outline="0" fieldPosition="0">
        <references count="3">
          <reference field="0" count="1" selected="0">
            <x v="1"/>
          </reference>
          <reference field="1" count="1" selected="0">
            <x v="2"/>
          </reference>
          <reference field="2" count="1">
            <x v="2"/>
          </reference>
        </references>
      </pivotArea>
    </format>
    <format dxfId="30">
      <pivotArea dataOnly="0" labelOnly="1" outline="0" fieldPosition="0">
        <references count="3">
          <reference field="0" count="1" selected="0">
            <x v="1"/>
          </reference>
          <reference field="1" count="1" selected="0">
            <x v="3"/>
          </reference>
          <reference field="2" count="1">
            <x v="1"/>
          </reference>
        </references>
      </pivotArea>
    </format>
    <format dxfId="29">
      <pivotArea dataOnly="0" labelOnly="1" outline="0" fieldPosition="0">
        <references count="1">
          <reference field="4294967294" count="1">
            <x v="0"/>
          </reference>
        </references>
      </pivotArea>
    </format>
    <format dxfId="28">
      <pivotArea dataOnly="0" labelOnly="1" outline="0" axis="axisValues" fieldPosition="0"/>
    </format>
    <format dxfId="27">
      <pivotArea outline="0" fieldPosition="0">
        <references count="3">
          <reference field="0" count="1" selected="0">
            <x v="1"/>
          </reference>
          <reference field="1" count="1" selected="0">
            <x v="5"/>
          </reference>
          <reference field="2" count="1" selected="0">
            <x v="4"/>
          </reference>
        </references>
      </pivotArea>
    </format>
    <format dxfId="26">
      <pivotArea dataOnly="0" labelOnly="1" outline="0" fieldPosition="0">
        <references count="3">
          <reference field="0" count="1" selected="0">
            <x v="1"/>
          </reference>
          <reference field="1" count="1" selected="0">
            <x v="5"/>
          </reference>
          <reference field="2" count="1">
            <x v="4"/>
          </reference>
        </references>
      </pivotArea>
    </format>
    <format dxfId="25">
      <pivotArea outline="0" fieldPosition="0">
        <references count="3">
          <reference field="0" count="1" selected="0">
            <x v="1"/>
          </reference>
          <reference field="1" count="4" selected="0">
            <x v="1"/>
            <x v="2"/>
            <x v="3"/>
            <x v="5"/>
          </reference>
          <reference field="2" count="4" selected="0">
            <x v="1"/>
            <x v="2"/>
            <x v="4"/>
            <x v="5"/>
          </reference>
        </references>
      </pivotArea>
    </format>
    <format dxfId="2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BD2D-931E-455F-849B-BC0B5FB8828B}">
  <dimension ref="A1:F36"/>
  <sheetViews>
    <sheetView zoomScaleNormal="100" workbookViewId="0">
      <pane xSplit="1" ySplit="6" topLeftCell="B21" activePane="bottomRight" state="frozen"/>
      <selection pane="topRight" activeCell="B1" sqref="B1"/>
      <selection pane="bottomLeft" activeCell="A6" sqref="A6"/>
      <selection pane="bottomRight" activeCell="C22" sqref="C22"/>
    </sheetView>
  </sheetViews>
  <sheetFormatPr defaultColWidth="9.140625" defaultRowHeight="15" x14ac:dyDescent="0.25"/>
  <cols>
    <col min="1" max="1" width="31" style="161" customWidth="1"/>
    <col min="2" max="2" width="94.140625" style="161" customWidth="1"/>
    <col min="3" max="3" width="81.140625" style="161" customWidth="1"/>
    <col min="4" max="4" width="83.28515625" style="161" customWidth="1"/>
    <col min="5" max="5" width="40.28515625" style="161" customWidth="1"/>
    <col min="6" max="6" width="16.7109375" style="161" customWidth="1"/>
    <col min="7" max="16384" width="9.140625" style="161"/>
  </cols>
  <sheetData>
    <row r="1" spans="1:6" ht="29.25" customHeight="1" x14ac:dyDescent="0.25">
      <c r="A1" s="238" t="s">
        <v>422</v>
      </c>
      <c r="B1" s="238"/>
    </row>
    <row r="2" spans="1:6" x14ac:dyDescent="0.25">
      <c r="A2" s="239" t="s">
        <v>412</v>
      </c>
      <c r="B2" s="239"/>
    </row>
    <row r="3" spans="1:6" x14ac:dyDescent="0.25">
      <c r="A3" s="231" t="s">
        <v>413</v>
      </c>
      <c r="B3"/>
    </row>
    <row r="4" spans="1:6" x14ac:dyDescent="0.25">
      <c r="A4" s="232">
        <v>44343</v>
      </c>
      <c r="B4"/>
    </row>
    <row r="6" spans="1:6" s="72" customFormat="1" x14ac:dyDescent="0.25">
      <c r="A6" s="233" t="s">
        <v>249</v>
      </c>
      <c r="B6" s="233" t="s">
        <v>251</v>
      </c>
      <c r="C6" s="233" t="s">
        <v>252</v>
      </c>
      <c r="D6" s="233" t="s">
        <v>250</v>
      </c>
      <c r="E6" s="233" t="s">
        <v>261</v>
      </c>
    </row>
    <row r="7" spans="1:6" ht="60" x14ac:dyDescent="0.25">
      <c r="A7" s="222" t="s">
        <v>411</v>
      </c>
      <c r="B7" s="222" t="s">
        <v>253</v>
      </c>
      <c r="C7" s="222" t="s">
        <v>267</v>
      </c>
      <c r="D7" s="222" t="s">
        <v>366</v>
      </c>
      <c r="E7" s="222" t="s">
        <v>262</v>
      </c>
      <c r="F7" s="70"/>
    </row>
    <row r="8" spans="1:6" ht="30" x14ac:dyDescent="0.25">
      <c r="A8" s="222" t="s">
        <v>411</v>
      </c>
      <c r="B8" s="222" t="s">
        <v>256</v>
      </c>
      <c r="C8" s="222" t="s">
        <v>364</v>
      </c>
      <c r="D8" s="223" t="s">
        <v>356</v>
      </c>
      <c r="E8" s="222" t="s">
        <v>258</v>
      </c>
    </row>
    <row r="9" spans="1:6" ht="60" x14ac:dyDescent="0.25">
      <c r="A9" s="222" t="s">
        <v>411</v>
      </c>
      <c r="B9" s="222" t="s">
        <v>257</v>
      </c>
      <c r="C9" s="222" t="s">
        <v>358</v>
      </c>
      <c r="D9" s="222" t="s">
        <v>357</v>
      </c>
      <c r="E9" s="222" t="s">
        <v>259</v>
      </c>
    </row>
    <row r="10" spans="1:6" ht="45" x14ac:dyDescent="0.25">
      <c r="A10" s="222" t="s">
        <v>411</v>
      </c>
      <c r="B10" s="222" t="s">
        <v>260</v>
      </c>
      <c r="C10" s="222" t="s">
        <v>359</v>
      </c>
      <c r="D10" s="222"/>
      <c r="E10" s="222" t="s">
        <v>310</v>
      </c>
    </row>
    <row r="11" spans="1:6" ht="60" x14ac:dyDescent="0.25">
      <c r="A11" s="222" t="s">
        <v>263</v>
      </c>
      <c r="B11" s="222" t="s">
        <v>423</v>
      </c>
      <c r="C11" s="222" t="s">
        <v>363</v>
      </c>
      <c r="D11" s="222" t="s">
        <v>304</v>
      </c>
      <c r="E11" s="222" t="s">
        <v>268</v>
      </c>
      <c r="F11" s="70"/>
    </row>
    <row r="12" spans="1:6" ht="75" x14ac:dyDescent="0.25">
      <c r="A12" s="222" t="s">
        <v>264</v>
      </c>
      <c r="B12" s="222" t="s">
        <v>334</v>
      </c>
      <c r="C12" s="222" t="s">
        <v>337</v>
      </c>
      <c r="D12" s="222" t="s">
        <v>367</v>
      </c>
      <c r="E12" s="222"/>
    </row>
    <row r="13" spans="1:6" ht="90" x14ac:dyDescent="0.25">
      <c r="A13" s="222" t="s">
        <v>264</v>
      </c>
      <c r="B13" s="222" t="s">
        <v>335</v>
      </c>
      <c r="C13" s="224" t="s">
        <v>379</v>
      </c>
      <c r="D13" s="222" t="s">
        <v>360</v>
      </c>
      <c r="E13" s="222"/>
    </row>
    <row r="14" spans="1:6" ht="90" x14ac:dyDescent="0.25">
      <c r="A14" s="222" t="s">
        <v>264</v>
      </c>
      <c r="B14" s="222" t="s">
        <v>336</v>
      </c>
      <c r="C14" s="222" t="s">
        <v>338</v>
      </c>
      <c r="D14" s="222" t="s">
        <v>361</v>
      </c>
      <c r="E14" s="222"/>
    </row>
    <row r="15" spans="1:6" ht="105" x14ac:dyDescent="0.25">
      <c r="A15" s="222" t="s">
        <v>264</v>
      </c>
      <c r="B15" s="222" t="s">
        <v>340</v>
      </c>
      <c r="C15" s="224" t="s">
        <v>365</v>
      </c>
      <c r="D15" s="222" t="s">
        <v>342</v>
      </c>
      <c r="E15" s="222"/>
    </row>
    <row r="16" spans="1:6" ht="120" x14ac:dyDescent="0.25">
      <c r="A16" s="222" t="s">
        <v>264</v>
      </c>
      <c r="B16" s="222" t="s">
        <v>341</v>
      </c>
      <c r="C16" s="222" t="s">
        <v>311</v>
      </c>
      <c r="D16" s="222" t="s">
        <v>362</v>
      </c>
      <c r="E16" s="222"/>
    </row>
    <row r="17" spans="1:5" x14ac:dyDescent="0.25">
      <c r="A17" s="222" t="s">
        <v>266</v>
      </c>
      <c r="B17" s="222" t="s">
        <v>423</v>
      </c>
      <c r="C17" s="222" t="s">
        <v>343</v>
      </c>
      <c r="D17" s="222"/>
      <c r="E17" s="222"/>
    </row>
    <row r="19" spans="1:5" x14ac:dyDescent="0.25">
      <c r="A19" s="234" t="s">
        <v>414</v>
      </c>
    </row>
    <row r="20" spans="1:5" x14ac:dyDescent="0.25">
      <c r="A20" s="234" t="s">
        <v>415</v>
      </c>
    </row>
    <row r="21" spans="1:5" ht="15" customHeight="1" x14ac:dyDescent="0.25">
      <c r="A21" s="243" t="s">
        <v>419</v>
      </c>
      <c r="B21" s="244"/>
      <c r="C21" s="214">
        <f>'Emissions and Costs'!C5+'Emissions and Costs'!C10+'Emissions and Costs'!C15+'Emissions and Costs'!C20+'Emissions and Costs'!C29+'Emissions and Costs'!C34+'Emissions and Costs'!C39+'Emissions and Costs'!C44</f>
        <v>48968</v>
      </c>
      <c r="D21" s="225"/>
    </row>
    <row r="22" spans="1:5" ht="15" customHeight="1" x14ac:dyDescent="0.25">
      <c r="A22" s="243" t="s">
        <v>420</v>
      </c>
      <c r="B22" s="244"/>
      <c r="C22" s="214">
        <f>'Emissions and Costs'!O25+'Emissions and Costs'!O49</f>
        <v>34607.223045082181</v>
      </c>
      <c r="D22" s="226"/>
    </row>
    <row r="23" spans="1:5" ht="15" customHeight="1" x14ac:dyDescent="0.25">
      <c r="A23" s="243" t="s">
        <v>417</v>
      </c>
      <c r="B23" s="244"/>
      <c r="C23" s="214">
        <f>'Emissions and Costs'!O25-'Emissions and Costs'!Z25+'Emissions and Costs'!O49-'Emissions and Costs'!Z49</f>
        <v>31346.870744365449</v>
      </c>
      <c r="D23" s="226"/>
    </row>
    <row r="24" spans="1:5" ht="15" customHeight="1" x14ac:dyDescent="0.25">
      <c r="A24" s="243" t="s">
        <v>418</v>
      </c>
      <c r="B24" s="244"/>
      <c r="C24" s="227">
        <f>C23/C22</f>
        <v>0.90578983189522222</v>
      </c>
      <c r="D24" s="228"/>
    </row>
    <row r="25" spans="1:5" x14ac:dyDescent="0.25">
      <c r="A25" s="243" t="s">
        <v>416</v>
      </c>
      <c r="B25" s="244"/>
      <c r="C25" s="236">
        <f>+C27/C23</f>
        <v>2744.7125457490738</v>
      </c>
    </row>
    <row r="26" spans="1:5" customFormat="1" x14ac:dyDescent="0.25">
      <c r="A26" s="241" t="s">
        <v>421</v>
      </c>
      <c r="B26" s="242"/>
      <c r="C26" s="237">
        <f>+C27/C21</f>
        <v>1757.0280469293102</v>
      </c>
    </row>
    <row r="27" spans="1:5" ht="15" customHeight="1" x14ac:dyDescent="0.25">
      <c r="A27" s="243" t="s">
        <v>390</v>
      </c>
      <c r="B27" s="244"/>
      <c r="C27" s="235">
        <f>'Emissions and Costs'!X25+'Emissions and Costs'!X49</f>
        <v>86038149.402034461</v>
      </c>
      <c r="D27" s="229"/>
    </row>
    <row r="29" spans="1:5" x14ac:dyDescent="0.25">
      <c r="C29" s="230"/>
    </row>
    <row r="33" spans="1:2" x14ac:dyDescent="0.25">
      <c r="A33" s="240"/>
      <c r="B33" s="240"/>
    </row>
    <row r="34" spans="1:2" x14ac:dyDescent="0.25">
      <c r="A34" s="239"/>
      <c r="B34" s="239"/>
    </row>
    <row r="35" spans="1:2" x14ac:dyDescent="0.25">
      <c r="A35" s="231"/>
      <c r="B35"/>
    </row>
    <row r="36" spans="1:2" x14ac:dyDescent="0.25">
      <c r="A36" s="232"/>
      <c r="B36"/>
    </row>
  </sheetData>
  <sheetProtection algorithmName="SHA-512" hashValue="cuUWKl3k5/7a6OLdrbzUssEII08u7bxjL14kLvf6caB64i5MpHu/AivNAUyFZfvEkv+0YxoTKX3xJLwsEAlWkw==" saltValue="XlmqLTCic/fcEtM6GW0w4Q==" spinCount="100000" sheet="1" objects="1" scenarios="1"/>
  <mergeCells count="11">
    <mergeCell ref="A1:B1"/>
    <mergeCell ref="A2:B2"/>
    <mergeCell ref="A33:B33"/>
    <mergeCell ref="A34:B34"/>
    <mergeCell ref="A26:B26"/>
    <mergeCell ref="A27:B27"/>
    <mergeCell ref="A21:B21"/>
    <mergeCell ref="A22:B22"/>
    <mergeCell ref="A23:B23"/>
    <mergeCell ref="A24:B24"/>
    <mergeCell ref="A25:B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C90D9-ACF9-42A1-946A-5B92F268E7F7}">
  <dimension ref="A1:V158"/>
  <sheetViews>
    <sheetView zoomScaleNormal="100" workbookViewId="0">
      <pane xSplit="1" ySplit="1" topLeftCell="B2" activePane="bottomRight" state="frozen"/>
      <selection pane="topRight" activeCell="B1" sqref="B1"/>
      <selection pane="bottomLeft" activeCell="A2" sqref="A2"/>
      <selection pane="bottomRight" activeCell="A156" sqref="A156"/>
    </sheetView>
  </sheetViews>
  <sheetFormatPr defaultRowHeight="15" x14ac:dyDescent="0.25"/>
  <cols>
    <col min="1" max="1" width="43.42578125" style="12" customWidth="1"/>
    <col min="2" max="2" width="25" style="12" bestFit="1" customWidth="1"/>
    <col min="3" max="3" width="22" style="12" bestFit="1" customWidth="1"/>
    <col min="4" max="4" width="20.85546875" style="12" bestFit="1" customWidth="1"/>
    <col min="5" max="5" width="20.7109375" style="12" bestFit="1" customWidth="1"/>
    <col min="6" max="6" width="36.140625" style="12" customWidth="1"/>
    <col min="7" max="7" width="20.85546875" style="12" bestFit="1" customWidth="1"/>
    <col min="8" max="8" width="20.42578125" style="12" bestFit="1" customWidth="1"/>
    <col min="9" max="9" width="22" style="12" bestFit="1" customWidth="1"/>
    <col min="10" max="10" width="20.85546875" style="12" bestFit="1" customWidth="1"/>
    <col min="11" max="11" width="20.42578125" style="12" bestFit="1" customWidth="1"/>
    <col min="12" max="12" width="22" style="12" bestFit="1" customWidth="1"/>
    <col min="13" max="13" width="20.85546875" style="12" bestFit="1" customWidth="1"/>
    <col min="14" max="14" width="20.42578125" style="12" bestFit="1" customWidth="1"/>
    <col min="15" max="16" width="22.85546875" style="12" bestFit="1" customWidth="1"/>
    <col min="17" max="17" width="15.7109375" style="12" bestFit="1" customWidth="1"/>
    <col min="18" max="18" width="22" style="12" bestFit="1" customWidth="1"/>
    <col min="19" max="19" width="20.85546875" style="12" bestFit="1" customWidth="1"/>
    <col min="20" max="22" width="19.140625" style="12" customWidth="1"/>
    <col min="23" max="16384" width="9.140625" style="12"/>
  </cols>
  <sheetData>
    <row r="1" spans="1:16" ht="18.75" x14ac:dyDescent="0.3">
      <c r="A1" s="144" t="s">
        <v>254</v>
      </c>
    </row>
    <row r="3" spans="1:16" ht="21" x14ac:dyDescent="0.35">
      <c r="A3" s="145" t="s">
        <v>255</v>
      </c>
    </row>
    <row r="5" spans="1:16" x14ac:dyDescent="0.25">
      <c r="A5" s="12" t="s">
        <v>132</v>
      </c>
    </row>
    <row r="6" spans="1:16" x14ac:dyDescent="0.25">
      <c r="A6" s="12" t="s">
        <v>133</v>
      </c>
    </row>
    <row r="7" spans="1:16" x14ac:dyDescent="0.25">
      <c r="A7" s="12" t="s">
        <v>351</v>
      </c>
    </row>
    <row r="9" spans="1:16" ht="30.75" customHeight="1" x14ac:dyDescent="0.25">
      <c r="A9" s="135" t="s">
        <v>122</v>
      </c>
      <c r="B9" s="135" t="s">
        <v>102</v>
      </c>
      <c r="C9" s="135" t="s">
        <v>134</v>
      </c>
      <c r="D9" s="136"/>
      <c r="E9" s="135" t="s">
        <v>102</v>
      </c>
      <c r="F9" s="135" t="s">
        <v>134</v>
      </c>
      <c r="H9" s="135" t="s">
        <v>122</v>
      </c>
      <c r="I9" s="135" t="s">
        <v>102</v>
      </c>
      <c r="J9" s="137" t="s">
        <v>347</v>
      </c>
      <c r="K9" s="137" t="s">
        <v>348</v>
      </c>
      <c r="L9" s="137" t="s">
        <v>102</v>
      </c>
      <c r="M9" s="137" t="s">
        <v>347</v>
      </c>
      <c r="N9" s="137" t="s">
        <v>348</v>
      </c>
      <c r="O9" s="139" t="s">
        <v>129</v>
      </c>
      <c r="P9" s="139" t="s">
        <v>130</v>
      </c>
    </row>
    <row r="10" spans="1:16" x14ac:dyDescent="0.25">
      <c r="A10" s="146" t="s">
        <v>124</v>
      </c>
      <c r="B10" s="146" t="s">
        <v>135</v>
      </c>
      <c r="C10" s="147">
        <v>12800</v>
      </c>
      <c r="D10" s="148"/>
      <c r="E10" s="146" t="s">
        <v>135</v>
      </c>
      <c r="F10" s="147">
        <v>27489</v>
      </c>
      <c r="H10" s="149" t="s">
        <v>124</v>
      </c>
      <c r="I10" s="149" t="s">
        <v>135</v>
      </c>
      <c r="J10" s="150">
        <v>2618</v>
      </c>
      <c r="K10" s="150">
        <v>1779</v>
      </c>
      <c r="L10" s="149" t="s">
        <v>135</v>
      </c>
      <c r="M10" s="150">
        <v>4081</v>
      </c>
      <c r="N10" s="150">
        <v>3698</v>
      </c>
      <c r="O10" s="151">
        <f>M10/F10</f>
        <v>0.1484593837535014</v>
      </c>
      <c r="P10" s="151">
        <f>N10/F10</f>
        <v>0.13452653788788244</v>
      </c>
    </row>
    <row r="11" spans="1:16" x14ac:dyDescent="0.25">
      <c r="A11" s="146" t="s">
        <v>125</v>
      </c>
      <c r="B11" s="146" t="s">
        <v>135</v>
      </c>
      <c r="C11" s="147">
        <v>13067</v>
      </c>
      <c r="D11" s="148"/>
      <c r="E11" s="146" t="s">
        <v>136</v>
      </c>
      <c r="F11" s="147">
        <v>20448</v>
      </c>
      <c r="H11" s="149" t="s">
        <v>125</v>
      </c>
      <c r="I11" s="149" t="s">
        <v>135</v>
      </c>
      <c r="J11" s="150">
        <v>1435</v>
      </c>
      <c r="K11" s="150">
        <v>1892</v>
      </c>
      <c r="L11" s="149" t="s">
        <v>136</v>
      </c>
      <c r="M11" s="150">
        <v>605</v>
      </c>
      <c r="N11" s="150">
        <v>257</v>
      </c>
      <c r="O11" s="151">
        <f>M11/F11</f>
        <v>2.9587245696400626E-2</v>
      </c>
      <c r="P11" s="151">
        <f>N11/F11</f>
        <v>1.2568466353677621E-2</v>
      </c>
    </row>
    <row r="12" spans="1:16" x14ac:dyDescent="0.25">
      <c r="A12" s="146" t="s">
        <v>113</v>
      </c>
      <c r="B12" s="146" t="s">
        <v>136</v>
      </c>
      <c r="C12" s="147">
        <v>11793</v>
      </c>
      <c r="D12" s="148"/>
      <c r="E12" s="152" t="s">
        <v>128</v>
      </c>
      <c r="F12" s="147">
        <v>47937</v>
      </c>
      <c r="H12" s="149" t="s">
        <v>113</v>
      </c>
      <c r="I12" s="149" t="s">
        <v>136</v>
      </c>
      <c r="J12" s="150">
        <v>279</v>
      </c>
      <c r="K12" s="150">
        <v>165</v>
      </c>
      <c r="L12" s="148"/>
      <c r="M12" s="148"/>
      <c r="N12" s="148"/>
    </row>
    <row r="13" spans="1:16" x14ac:dyDescent="0.25">
      <c r="A13" s="146" t="s">
        <v>126</v>
      </c>
      <c r="B13" s="146" t="s">
        <v>136</v>
      </c>
      <c r="C13" s="147">
        <v>8278</v>
      </c>
      <c r="D13" s="148"/>
      <c r="E13" s="148"/>
      <c r="F13" s="148"/>
      <c r="H13" s="149" t="s">
        <v>126</v>
      </c>
      <c r="I13" s="149" t="s">
        <v>136</v>
      </c>
      <c r="J13" s="150">
        <v>236</v>
      </c>
      <c r="K13" s="150">
        <v>50</v>
      </c>
      <c r="L13" s="148"/>
      <c r="M13" s="148"/>
      <c r="N13" s="148"/>
    </row>
    <row r="14" spans="1:16" x14ac:dyDescent="0.25">
      <c r="A14" s="146" t="s">
        <v>127</v>
      </c>
      <c r="B14" s="146" t="s">
        <v>136</v>
      </c>
      <c r="C14" s="147">
        <v>377</v>
      </c>
      <c r="D14" s="148"/>
      <c r="E14" s="148"/>
      <c r="F14" s="148"/>
      <c r="H14" s="149" t="s">
        <v>127</v>
      </c>
      <c r="I14" s="149" t="s">
        <v>136</v>
      </c>
      <c r="J14" s="150">
        <v>90</v>
      </c>
      <c r="K14" s="150">
        <v>42</v>
      </c>
      <c r="L14" s="148"/>
      <c r="M14" s="148"/>
      <c r="N14" s="148"/>
    </row>
    <row r="15" spans="1:16" x14ac:dyDescent="0.25">
      <c r="A15" s="146" t="s">
        <v>123</v>
      </c>
      <c r="B15" s="146" t="s">
        <v>135</v>
      </c>
      <c r="C15" s="147">
        <v>1622</v>
      </c>
      <c r="D15" s="148"/>
      <c r="E15" s="148"/>
      <c r="F15" s="148"/>
      <c r="H15" s="149" t="s">
        <v>123</v>
      </c>
      <c r="I15" s="149" t="s">
        <v>135</v>
      </c>
      <c r="J15" s="150">
        <v>28</v>
      </c>
      <c r="K15" s="150">
        <v>27</v>
      </c>
      <c r="L15" s="148"/>
      <c r="M15" s="148"/>
      <c r="N15" s="148"/>
    </row>
    <row r="16" spans="1:16" x14ac:dyDescent="0.25">
      <c r="A16" s="153"/>
      <c r="B16" s="152" t="s">
        <v>128</v>
      </c>
      <c r="C16" s="147">
        <v>47937</v>
      </c>
      <c r="D16" s="148"/>
      <c r="E16" s="148"/>
      <c r="F16" s="148"/>
      <c r="H16" s="154"/>
      <c r="I16" s="152" t="s">
        <v>128</v>
      </c>
      <c r="J16" s="150">
        <v>4686</v>
      </c>
      <c r="K16" s="150">
        <v>3955</v>
      </c>
      <c r="L16" s="148"/>
      <c r="M16" s="148"/>
      <c r="N16" s="148"/>
    </row>
    <row r="19" spans="1:10" ht="21" x14ac:dyDescent="0.25">
      <c r="A19" s="155" t="s">
        <v>383</v>
      </c>
    </row>
    <row r="20" spans="1:10" x14ac:dyDescent="0.25">
      <c r="A20" s="44" t="s">
        <v>382</v>
      </c>
      <c r="E20" s="3"/>
      <c r="F20" s="44"/>
    </row>
    <row r="21" spans="1:10" s="161" customFormat="1" ht="15.75" x14ac:dyDescent="0.25">
      <c r="A21" s="156" t="s">
        <v>152</v>
      </c>
      <c r="B21" s="157" t="s">
        <v>137</v>
      </c>
      <c r="C21" s="158" t="s">
        <v>135</v>
      </c>
      <c r="D21" s="159" t="s">
        <v>136</v>
      </c>
      <c r="E21" s="160"/>
      <c r="F21" s="79" t="s">
        <v>152</v>
      </c>
      <c r="G21" s="139" t="s">
        <v>106</v>
      </c>
      <c r="H21" s="139" t="s">
        <v>150</v>
      </c>
      <c r="I21" s="139" t="s">
        <v>113</v>
      </c>
      <c r="J21" s="139" t="s">
        <v>151</v>
      </c>
    </row>
    <row r="22" spans="1:10" x14ac:dyDescent="0.25">
      <c r="A22" s="162" t="s">
        <v>146</v>
      </c>
      <c r="B22" s="163">
        <v>1</v>
      </c>
      <c r="C22" s="164">
        <f>G22+H22*G22/(G22+I22)</f>
        <v>0</v>
      </c>
      <c r="D22" s="164">
        <f>I22+H22*I22/(G22+I22)</f>
        <v>1</v>
      </c>
      <c r="E22" s="165"/>
      <c r="F22" s="19" t="s">
        <v>146</v>
      </c>
      <c r="G22" s="164"/>
      <c r="H22" s="164"/>
      <c r="I22" s="164">
        <v>1</v>
      </c>
      <c r="J22" s="164">
        <v>1</v>
      </c>
    </row>
    <row r="23" spans="1:10" x14ac:dyDescent="0.25">
      <c r="A23" s="162" t="s">
        <v>149</v>
      </c>
      <c r="B23" s="163">
        <v>3</v>
      </c>
      <c r="C23" s="166">
        <f>G23+H23*G23/(G23+I23)</f>
        <v>1.5</v>
      </c>
      <c r="D23" s="166">
        <f t="shared" ref="D23:D33" si="0">I23+H23*I23/(G23+I23)</f>
        <v>1.5</v>
      </c>
      <c r="F23" s="19" t="s">
        <v>149</v>
      </c>
      <c r="G23" s="164">
        <v>1</v>
      </c>
      <c r="H23" s="164">
        <v>1</v>
      </c>
      <c r="I23" s="164">
        <v>1</v>
      </c>
      <c r="J23" s="164">
        <v>3</v>
      </c>
    </row>
    <row r="24" spans="1:10" x14ac:dyDescent="0.25">
      <c r="A24" s="162" t="s">
        <v>138</v>
      </c>
      <c r="B24" s="163">
        <v>982</v>
      </c>
      <c r="C24" s="164">
        <f t="shared" ref="C24:C33" si="1">G24+H24*G24/(G24+I24)</f>
        <v>623.78616352201254</v>
      </c>
      <c r="D24" s="164">
        <f t="shared" si="0"/>
        <v>358.21383647798746</v>
      </c>
      <c r="F24" s="19" t="s">
        <v>138</v>
      </c>
      <c r="G24" s="164">
        <v>505</v>
      </c>
      <c r="H24" s="164">
        <v>187</v>
      </c>
      <c r="I24" s="164">
        <v>290</v>
      </c>
      <c r="J24" s="164">
        <v>982</v>
      </c>
    </row>
    <row r="25" spans="1:10" x14ac:dyDescent="0.25">
      <c r="A25" s="162" t="s">
        <v>147</v>
      </c>
      <c r="B25" s="163">
        <v>2</v>
      </c>
      <c r="C25" s="164">
        <f t="shared" si="1"/>
        <v>2</v>
      </c>
      <c r="D25" s="164">
        <f t="shared" si="0"/>
        <v>0</v>
      </c>
      <c r="F25" s="19" t="s">
        <v>147</v>
      </c>
      <c r="G25" s="164">
        <v>2</v>
      </c>
      <c r="H25" s="164"/>
      <c r="I25" s="164"/>
      <c r="J25" s="164">
        <v>2</v>
      </c>
    </row>
    <row r="26" spans="1:10" x14ac:dyDescent="0.25">
      <c r="A26" s="162" t="s">
        <v>140</v>
      </c>
      <c r="B26" s="163">
        <v>48</v>
      </c>
      <c r="C26" s="164">
        <f t="shared" si="1"/>
        <v>40</v>
      </c>
      <c r="D26" s="164">
        <f t="shared" si="0"/>
        <v>8</v>
      </c>
      <c r="F26" s="19" t="s">
        <v>140</v>
      </c>
      <c r="G26" s="164">
        <v>40</v>
      </c>
      <c r="H26" s="164"/>
      <c r="I26" s="164">
        <v>8</v>
      </c>
      <c r="J26" s="164">
        <v>48</v>
      </c>
    </row>
    <row r="27" spans="1:10" x14ac:dyDescent="0.25">
      <c r="A27" s="162" t="s">
        <v>141</v>
      </c>
      <c r="B27" s="163">
        <v>23</v>
      </c>
      <c r="C27" s="164">
        <f t="shared" si="1"/>
        <v>18.61904761904762</v>
      </c>
      <c r="D27" s="164">
        <f t="shared" si="0"/>
        <v>4.3809523809523814</v>
      </c>
      <c r="F27" s="19" t="s">
        <v>141</v>
      </c>
      <c r="G27" s="164">
        <v>17</v>
      </c>
      <c r="H27" s="164">
        <v>2</v>
      </c>
      <c r="I27" s="164">
        <v>4</v>
      </c>
      <c r="J27" s="164">
        <v>23</v>
      </c>
    </row>
    <row r="28" spans="1:10" x14ac:dyDescent="0.25">
      <c r="A28" s="162" t="s">
        <v>145</v>
      </c>
      <c r="B28" s="163">
        <v>1409</v>
      </c>
      <c r="C28" s="164">
        <f t="shared" si="1"/>
        <v>1161.7891696750903</v>
      </c>
      <c r="D28" s="164">
        <f t="shared" si="0"/>
        <v>247.21083032490975</v>
      </c>
      <c r="F28" s="19" t="s">
        <v>145</v>
      </c>
      <c r="G28" s="164">
        <v>1142</v>
      </c>
      <c r="H28" s="164">
        <v>24</v>
      </c>
      <c r="I28" s="164">
        <v>243</v>
      </c>
      <c r="J28" s="164">
        <v>1409</v>
      </c>
    </row>
    <row r="29" spans="1:10" x14ac:dyDescent="0.25">
      <c r="A29" s="162" t="s">
        <v>143</v>
      </c>
      <c r="B29" s="163">
        <v>2</v>
      </c>
      <c r="C29" s="164">
        <f t="shared" si="1"/>
        <v>1</v>
      </c>
      <c r="D29" s="164">
        <f t="shared" si="0"/>
        <v>1</v>
      </c>
      <c r="F29" s="19" t="s">
        <v>143</v>
      </c>
      <c r="G29" s="164">
        <v>1</v>
      </c>
      <c r="H29" s="164"/>
      <c r="I29" s="164">
        <v>1</v>
      </c>
      <c r="J29" s="164">
        <v>2</v>
      </c>
    </row>
    <row r="30" spans="1:10" x14ac:dyDescent="0.25">
      <c r="A30" s="162" t="s">
        <v>144</v>
      </c>
      <c r="B30" s="163">
        <v>38</v>
      </c>
      <c r="C30" s="164">
        <f t="shared" si="1"/>
        <v>21</v>
      </c>
      <c r="D30" s="164">
        <f t="shared" si="0"/>
        <v>17</v>
      </c>
      <c r="F30" s="19" t="s">
        <v>144</v>
      </c>
      <c r="G30" s="164">
        <v>21</v>
      </c>
      <c r="H30" s="164"/>
      <c r="I30" s="164">
        <v>17</v>
      </c>
      <c r="J30" s="164">
        <v>38</v>
      </c>
    </row>
    <row r="31" spans="1:10" x14ac:dyDescent="0.25">
      <c r="A31" s="162" t="s">
        <v>142</v>
      </c>
      <c r="B31" s="163">
        <v>1502</v>
      </c>
      <c r="C31" s="164">
        <f t="shared" si="1"/>
        <v>1471.96</v>
      </c>
      <c r="D31" s="164">
        <f t="shared" si="0"/>
        <v>30.04</v>
      </c>
      <c r="F31" s="19" t="s">
        <v>142</v>
      </c>
      <c r="G31" s="164">
        <v>1470</v>
      </c>
      <c r="H31" s="164">
        <v>2</v>
      </c>
      <c r="I31" s="164">
        <v>30</v>
      </c>
      <c r="J31" s="164">
        <v>1502</v>
      </c>
    </row>
    <row r="32" spans="1:10" x14ac:dyDescent="0.25">
      <c r="A32" s="162" t="s">
        <v>148</v>
      </c>
      <c r="B32" s="163">
        <v>115</v>
      </c>
      <c r="C32" s="164">
        <f t="shared" si="1"/>
        <v>42.201834862385319</v>
      </c>
      <c r="D32" s="164">
        <f t="shared" si="0"/>
        <v>72.798165137614674</v>
      </c>
      <c r="F32" s="19" t="s">
        <v>148</v>
      </c>
      <c r="G32" s="164">
        <v>40</v>
      </c>
      <c r="H32" s="164">
        <v>6</v>
      </c>
      <c r="I32" s="164">
        <v>69</v>
      </c>
      <c r="J32" s="164">
        <v>115</v>
      </c>
    </row>
    <row r="33" spans="1:11" x14ac:dyDescent="0.25">
      <c r="A33" s="162" t="s">
        <v>139</v>
      </c>
      <c r="B33" s="163">
        <v>61</v>
      </c>
      <c r="C33" s="164">
        <f t="shared" si="1"/>
        <v>39.04</v>
      </c>
      <c r="D33" s="164">
        <f t="shared" si="0"/>
        <v>21.96</v>
      </c>
      <c r="F33" s="19" t="s">
        <v>139</v>
      </c>
      <c r="G33" s="164">
        <v>32</v>
      </c>
      <c r="H33" s="164">
        <v>11</v>
      </c>
      <c r="I33" s="164">
        <v>18</v>
      </c>
      <c r="J33" s="164">
        <v>61</v>
      </c>
    </row>
    <row r="34" spans="1:11" x14ac:dyDescent="0.25">
      <c r="A34" s="167" t="s">
        <v>128</v>
      </c>
      <c r="B34" s="163">
        <v>4186</v>
      </c>
      <c r="C34" s="164">
        <f>SUM(C22:C33)</f>
        <v>3422.8962156785356</v>
      </c>
      <c r="D34" s="164">
        <f>SUM(D22:D33)</f>
        <v>763.10378432146422</v>
      </c>
      <c r="F34" s="19" t="s">
        <v>151</v>
      </c>
      <c r="G34" s="164">
        <v>3271</v>
      </c>
      <c r="H34" s="164">
        <v>233</v>
      </c>
      <c r="I34" s="164">
        <v>682</v>
      </c>
      <c r="J34" s="164">
        <v>4186</v>
      </c>
    </row>
    <row r="35" spans="1:11" x14ac:dyDescent="0.25">
      <c r="A35" s="44" t="s">
        <v>346</v>
      </c>
    </row>
    <row r="38" spans="1:11" ht="21" x14ac:dyDescent="0.35">
      <c r="A38" s="145" t="s">
        <v>349</v>
      </c>
    </row>
    <row r="39" spans="1:11" x14ac:dyDescent="0.25">
      <c r="A39" s="44" t="s">
        <v>381</v>
      </c>
    </row>
    <row r="40" spans="1:11" ht="15.75" x14ac:dyDescent="0.25">
      <c r="A40" s="168" t="s">
        <v>152</v>
      </c>
      <c r="B40" s="168" t="s">
        <v>153</v>
      </c>
      <c r="C40" s="168" t="s">
        <v>154</v>
      </c>
      <c r="D40" s="168" t="s">
        <v>155</v>
      </c>
      <c r="E40" s="168" t="s">
        <v>156</v>
      </c>
      <c r="F40" s="168" t="s">
        <v>157</v>
      </c>
      <c r="G40" s="168" t="s">
        <v>158</v>
      </c>
      <c r="H40" s="168" t="s">
        <v>151</v>
      </c>
    </row>
    <row r="41" spans="1:11" x14ac:dyDescent="0.25">
      <c r="A41" s="19" t="s">
        <v>146</v>
      </c>
      <c r="B41" s="19"/>
      <c r="C41" s="19">
        <v>1</v>
      </c>
      <c r="D41" s="19"/>
      <c r="E41" s="19"/>
      <c r="F41" s="19"/>
      <c r="G41" s="19"/>
      <c r="H41" s="19">
        <v>1</v>
      </c>
      <c r="K41" s="169"/>
    </row>
    <row r="42" spans="1:11" x14ac:dyDescent="0.25">
      <c r="A42" s="19" t="s">
        <v>149</v>
      </c>
      <c r="B42" s="19"/>
      <c r="C42" s="19"/>
      <c r="D42" s="19"/>
      <c r="E42" s="19"/>
      <c r="F42" s="19">
        <v>3</v>
      </c>
      <c r="G42" s="19"/>
      <c r="H42" s="19">
        <v>3</v>
      </c>
      <c r="K42" s="169"/>
    </row>
    <row r="43" spans="1:11" x14ac:dyDescent="0.25">
      <c r="A43" s="19" t="s">
        <v>138</v>
      </c>
      <c r="B43" s="19">
        <v>68</v>
      </c>
      <c r="C43" s="19">
        <v>148</v>
      </c>
      <c r="D43" s="19">
        <v>1</v>
      </c>
      <c r="E43" s="19">
        <v>65</v>
      </c>
      <c r="F43" s="19">
        <v>486</v>
      </c>
      <c r="G43" s="19">
        <v>214</v>
      </c>
      <c r="H43" s="19">
        <v>982</v>
      </c>
      <c r="K43" s="169"/>
    </row>
    <row r="44" spans="1:11" x14ac:dyDescent="0.25">
      <c r="A44" s="19" t="s">
        <v>147</v>
      </c>
      <c r="B44" s="19"/>
      <c r="C44" s="19"/>
      <c r="D44" s="19"/>
      <c r="E44" s="19"/>
      <c r="F44" s="19">
        <v>1</v>
      </c>
      <c r="G44" s="19">
        <v>1</v>
      </c>
      <c r="H44" s="19">
        <v>2</v>
      </c>
      <c r="K44" s="169"/>
    </row>
    <row r="45" spans="1:11" x14ac:dyDescent="0.25">
      <c r="A45" s="19" t="s">
        <v>140</v>
      </c>
      <c r="B45" s="19">
        <v>25</v>
      </c>
      <c r="C45" s="19">
        <v>3</v>
      </c>
      <c r="D45" s="19"/>
      <c r="E45" s="19">
        <v>2</v>
      </c>
      <c r="F45" s="19">
        <v>9</v>
      </c>
      <c r="G45" s="19">
        <v>9</v>
      </c>
      <c r="H45" s="19">
        <v>48</v>
      </c>
      <c r="K45" s="169"/>
    </row>
    <row r="46" spans="1:11" x14ac:dyDescent="0.25">
      <c r="A46" s="19" t="s">
        <v>141</v>
      </c>
      <c r="B46" s="19">
        <v>1</v>
      </c>
      <c r="C46" s="19"/>
      <c r="D46" s="19"/>
      <c r="E46" s="19">
        <v>3</v>
      </c>
      <c r="F46" s="19">
        <v>18</v>
      </c>
      <c r="G46" s="19">
        <v>1</v>
      </c>
      <c r="H46" s="19">
        <v>23</v>
      </c>
      <c r="K46" s="169"/>
    </row>
    <row r="47" spans="1:11" x14ac:dyDescent="0.25">
      <c r="A47" s="170" t="s">
        <v>145</v>
      </c>
      <c r="B47" s="19">
        <v>2</v>
      </c>
      <c r="C47" s="19">
        <v>105</v>
      </c>
      <c r="D47" s="19">
        <v>3</v>
      </c>
      <c r="E47" s="19">
        <v>51</v>
      </c>
      <c r="F47" s="19">
        <v>1019</v>
      </c>
      <c r="G47" s="19">
        <v>229</v>
      </c>
      <c r="H47" s="19">
        <v>1409</v>
      </c>
      <c r="K47" s="169"/>
    </row>
    <row r="48" spans="1:11" x14ac:dyDescent="0.25">
      <c r="A48" s="19" t="s">
        <v>143</v>
      </c>
      <c r="B48" s="19">
        <v>1</v>
      </c>
      <c r="C48" s="19"/>
      <c r="D48" s="19"/>
      <c r="E48" s="19"/>
      <c r="F48" s="19">
        <v>1</v>
      </c>
      <c r="G48" s="19"/>
      <c r="H48" s="19">
        <v>2</v>
      </c>
      <c r="K48" s="169"/>
    </row>
    <row r="49" spans="1:11" x14ac:dyDescent="0.25">
      <c r="A49" s="19" t="s">
        <v>144</v>
      </c>
      <c r="B49" s="19">
        <v>1</v>
      </c>
      <c r="C49" s="19">
        <v>8</v>
      </c>
      <c r="D49" s="19"/>
      <c r="E49" s="19">
        <v>4</v>
      </c>
      <c r="F49" s="19">
        <v>17</v>
      </c>
      <c r="G49" s="19">
        <v>8</v>
      </c>
      <c r="H49" s="19">
        <v>38</v>
      </c>
      <c r="K49" s="169"/>
    </row>
    <row r="50" spans="1:11" x14ac:dyDescent="0.25">
      <c r="A50" s="19" t="s">
        <v>142</v>
      </c>
      <c r="B50" s="19">
        <v>2</v>
      </c>
      <c r="C50" s="19">
        <v>67</v>
      </c>
      <c r="D50" s="19">
        <v>1</v>
      </c>
      <c r="E50" s="19">
        <v>34</v>
      </c>
      <c r="F50" s="19">
        <v>1152</v>
      </c>
      <c r="G50" s="19">
        <v>246</v>
      </c>
      <c r="H50" s="19">
        <v>1502</v>
      </c>
      <c r="K50" s="169"/>
    </row>
    <row r="51" spans="1:11" x14ac:dyDescent="0.25">
      <c r="A51" s="19" t="s">
        <v>148</v>
      </c>
      <c r="B51" s="19"/>
      <c r="C51" s="19"/>
      <c r="D51" s="19"/>
      <c r="E51" s="19">
        <v>10</v>
      </c>
      <c r="F51" s="19">
        <v>102</v>
      </c>
      <c r="G51" s="19">
        <v>3</v>
      </c>
      <c r="H51" s="19">
        <v>115</v>
      </c>
      <c r="K51" s="169"/>
    </row>
    <row r="52" spans="1:11" x14ac:dyDescent="0.25">
      <c r="A52" s="19" t="s">
        <v>139</v>
      </c>
      <c r="B52" s="19">
        <v>1</v>
      </c>
      <c r="C52" s="19">
        <v>8</v>
      </c>
      <c r="D52" s="19"/>
      <c r="E52" s="19">
        <v>10</v>
      </c>
      <c r="F52" s="19">
        <v>41</v>
      </c>
      <c r="G52" s="19">
        <v>1</v>
      </c>
      <c r="H52" s="19">
        <v>61</v>
      </c>
      <c r="K52" s="169"/>
    </row>
    <row r="53" spans="1:11" x14ac:dyDescent="0.25">
      <c r="A53" s="19" t="s">
        <v>151</v>
      </c>
      <c r="B53" s="19">
        <v>101</v>
      </c>
      <c r="C53" s="19">
        <v>340</v>
      </c>
      <c r="D53" s="19">
        <v>5</v>
      </c>
      <c r="E53" s="19">
        <v>179</v>
      </c>
      <c r="F53" s="19">
        <v>2849</v>
      </c>
      <c r="G53" s="19">
        <v>712</v>
      </c>
      <c r="H53" s="19">
        <v>4186</v>
      </c>
      <c r="K53" s="169"/>
    </row>
    <row r="55" spans="1:11" x14ac:dyDescent="0.25">
      <c r="A55" s="44"/>
    </row>
    <row r="56" spans="1:11" x14ac:dyDescent="0.25">
      <c r="A56" s="81" t="s">
        <v>152</v>
      </c>
      <c r="B56" s="81" t="s">
        <v>153</v>
      </c>
      <c r="C56" s="81" t="s">
        <v>154</v>
      </c>
      <c r="D56" s="81" t="s">
        <v>155</v>
      </c>
      <c r="E56" s="81" t="s">
        <v>156</v>
      </c>
      <c r="F56" s="81" t="s">
        <v>157</v>
      </c>
      <c r="G56" s="81" t="s">
        <v>158</v>
      </c>
      <c r="H56" s="81" t="s">
        <v>151</v>
      </c>
    </row>
    <row r="57" spans="1:11" x14ac:dyDescent="0.25">
      <c r="A57" s="181" t="s">
        <v>146</v>
      </c>
      <c r="B57" s="19"/>
      <c r="C57" s="19">
        <v>1</v>
      </c>
      <c r="D57" s="19"/>
      <c r="E57" s="19"/>
      <c r="F57" s="19"/>
      <c r="G57" s="19"/>
      <c r="H57" s="19">
        <v>1</v>
      </c>
    </row>
    <row r="58" spans="1:11" x14ac:dyDescent="0.25">
      <c r="A58" s="18" t="s">
        <v>113</v>
      </c>
      <c r="B58" s="19"/>
      <c r="C58" s="19">
        <v>1</v>
      </c>
      <c r="D58" s="19"/>
      <c r="E58" s="19"/>
      <c r="F58" s="19"/>
      <c r="G58" s="19"/>
      <c r="H58" s="19">
        <v>1</v>
      </c>
    </row>
    <row r="59" spans="1:11" x14ac:dyDescent="0.25">
      <c r="A59" s="181" t="s">
        <v>149</v>
      </c>
      <c r="B59" s="19"/>
      <c r="C59" s="19"/>
      <c r="D59" s="19"/>
      <c r="E59" s="19"/>
      <c r="F59" s="19">
        <v>3</v>
      </c>
      <c r="G59" s="19"/>
      <c r="H59" s="19">
        <v>3</v>
      </c>
    </row>
    <row r="60" spans="1:11" x14ac:dyDescent="0.25">
      <c r="A60" s="18" t="s">
        <v>106</v>
      </c>
      <c r="B60" s="19"/>
      <c r="C60" s="19"/>
      <c r="D60" s="19"/>
      <c r="E60" s="19"/>
      <c r="F60" s="19">
        <v>1</v>
      </c>
      <c r="G60" s="19"/>
      <c r="H60" s="19">
        <v>1</v>
      </c>
    </row>
    <row r="61" spans="1:11" x14ac:dyDescent="0.25">
      <c r="A61" s="18" t="s">
        <v>150</v>
      </c>
      <c r="B61" s="19"/>
      <c r="C61" s="19"/>
      <c r="D61" s="19"/>
      <c r="E61" s="19"/>
      <c r="F61" s="19">
        <v>1</v>
      </c>
      <c r="G61" s="19"/>
      <c r="H61" s="19">
        <v>1</v>
      </c>
    </row>
    <row r="62" spans="1:11" x14ac:dyDescent="0.25">
      <c r="A62" s="18" t="s">
        <v>113</v>
      </c>
      <c r="B62" s="19"/>
      <c r="C62" s="19"/>
      <c r="D62" s="19"/>
      <c r="E62" s="19"/>
      <c r="F62" s="19">
        <v>1</v>
      </c>
      <c r="G62" s="19"/>
      <c r="H62" s="19">
        <v>1</v>
      </c>
    </row>
    <row r="63" spans="1:11" x14ac:dyDescent="0.25">
      <c r="A63" s="181" t="s">
        <v>138</v>
      </c>
      <c r="B63" s="19">
        <v>68</v>
      </c>
      <c r="C63" s="19">
        <v>148</v>
      </c>
      <c r="D63" s="19">
        <v>1</v>
      </c>
      <c r="E63" s="19">
        <v>65</v>
      </c>
      <c r="F63" s="19">
        <v>486</v>
      </c>
      <c r="G63" s="19">
        <v>214</v>
      </c>
      <c r="H63" s="19">
        <v>982</v>
      </c>
    </row>
    <row r="64" spans="1:11" x14ac:dyDescent="0.25">
      <c r="A64" s="18" t="s">
        <v>106</v>
      </c>
      <c r="B64" s="19">
        <v>29</v>
      </c>
      <c r="C64" s="19">
        <v>68</v>
      </c>
      <c r="D64" s="19"/>
      <c r="E64" s="19">
        <v>36</v>
      </c>
      <c r="F64" s="19">
        <v>178</v>
      </c>
      <c r="G64" s="19">
        <v>194</v>
      </c>
      <c r="H64" s="19">
        <v>505</v>
      </c>
      <c r="J64" s="171"/>
      <c r="K64" s="171"/>
    </row>
    <row r="65" spans="1:8" x14ac:dyDescent="0.25">
      <c r="A65" s="18" t="s">
        <v>150</v>
      </c>
      <c r="B65" s="19"/>
      <c r="C65" s="19">
        <v>30</v>
      </c>
      <c r="D65" s="19">
        <v>1</v>
      </c>
      <c r="E65" s="19">
        <v>15</v>
      </c>
      <c r="F65" s="19">
        <v>141</v>
      </c>
      <c r="G65" s="19"/>
      <c r="H65" s="19">
        <v>187</v>
      </c>
    </row>
    <row r="66" spans="1:8" x14ac:dyDescent="0.25">
      <c r="A66" s="18" t="s">
        <v>113</v>
      </c>
      <c r="B66" s="19">
        <v>39</v>
      </c>
      <c r="C66" s="19">
        <v>50</v>
      </c>
      <c r="D66" s="19"/>
      <c r="E66" s="19">
        <v>14</v>
      </c>
      <c r="F66" s="19">
        <v>167</v>
      </c>
      <c r="G66" s="19">
        <v>20</v>
      </c>
      <c r="H66" s="19">
        <v>290</v>
      </c>
    </row>
    <row r="67" spans="1:8" x14ac:dyDescent="0.25">
      <c r="A67" s="181" t="s">
        <v>147</v>
      </c>
      <c r="B67" s="19"/>
      <c r="C67" s="19"/>
      <c r="D67" s="19"/>
      <c r="E67" s="19"/>
      <c r="F67" s="19">
        <v>1</v>
      </c>
      <c r="G67" s="19">
        <v>1</v>
      </c>
      <c r="H67" s="19">
        <v>2</v>
      </c>
    </row>
    <row r="68" spans="1:8" x14ac:dyDescent="0.25">
      <c r="A68" s="18" t="s">
        <v>106</v>
      </c>
      <c r="B68" s="19"/>
      <c r="C68" s="19"/>
      <c r="D68" s="19"/>
      <c r="E68" s="19"/>
      <c r="F68" s="19">
        <v>1</v>
      </c>
      <c r="G68" s="19">
        <v>1</v>
      </c>
      <c r="H68" s="19">
        <v>2</v>
      </c>
    </row>
    <row r="69" spans="1:8" x14ac:dyDescent="0.25">
      <c r="A69" s="181" t="s">
        <v>140</v>
      </c>
      <c r="B69" s="19">
        <v>25</v>
      </c>
      <c r="C69" s="19">
        <v>3</v>
      </c>
      <c r="D69" s="19"/>
      <c r="E69" s="19">
        <v>2</v>
      </c>
      <c r="F69" s="19">
        <v>9</v>
      </c>
      <c r="G69" s="19">
        <v>9</v>
      </c>
      <c r="H69" s="19">
        <v>48</v>
      </c>
    </row>
    <row r="70" spans="1:8" x14ac:dyDescent="0.25">
      <c r="A70" s="18" t="s">
        <v>106</v>
      </c>
      <c r="B70" s="19">
        <v>19</v>
      </c>
      <c r="C70" s="19">
        <v>3</v>
      </c>
      <c r="D70" s="19"/>
      <c r="E70" s="19">
        <v>2</v>
      </c>
      <c r="F70" s="19">
        <v>7</v>
      </c>
      <c r="G70" s="19">
        <v>9</v>
      </c>
      <c r="H70" s="19">
        <v>40</v>
      </c>
    </row>
    <row r="71" spans="1:8" x14ac:dyDescent="0.25">
      <c r="A71" s="18" t="s">
        <v>113</v>
      </c>
      <c r="B71" s="19">
        <v>6</v>
      </c>
      <c r="C71" s="19"/>
      <c r="D71" s="19"/>
      <c r="E71" s="19"/>
      <c r="F71" s="19">
        <v>2</v>
      </c>
      <c r="G71" s="19"/>
      <c r="H71" s="19">
        <v>8</v>
      </c>
    </row>
    <row r="72" spans="1:8" x14ac:dyDescent="0.25">
      <c r="A72" s="181" t="s">
        <v>141</v>
      </c>
      <c r="B72" s="19">
        <v>1</v>
      </c>
      <c r="C72" s="19"/>
      <c r="D72" s="19"/>
      <c r="E72" s="19">
        <v>3</v>
      </c>
      <c r="F72" s="19">
        <v>18</v>
      </c>
      <c r="G72" s="19">
        <v>1</v>
      </c>
      <c r="H72" s="19">
        <v>23</v>
      </c>
    </row>
    <row r="73" spans="1:8" x14ac:dyDescent="0.25">
      <c r="A73" s="18" t="s">
        <v>106</v>
      </c>
      <c r="B73" s="19">
        <v>1</v>
      </c>
      <c r="C73" s="19"/>
      <c r="D73" s="19"/>
      <c r="E73" s="19">
        <v>2</v>
      </c>
      <c r="F73" s="19">
        <v>14</v>
      </c>
      <c r="G73" s="19"/>
      <c r="H73" s="19">
        <v>17</v>
      </c>
    </row>
    <row r="74" spans="1:8" x14ac:dyDescent="0.25">
      <c r="A74" s="18" t="s">
        <v>150</v>
      </c>
      <c r="B74" s="19"/>
      <c r="C74" s="19"/>
      <c r="D74" s="19"/>
      <c r="E74" s="19">
        <v>1</v>
      </c>
      <c r="F74" s="19">
        <v>1</v>
      </c>
      <c r="G74" s="19"/>
      <c r="H74" s="19">
        <v>2</v>
      </c>
    </row>
    <row r="75" spans="1:8" x14ac:dyDescent="0.25">
      <c r="A75" s="18" t="s">
        <v>113</v>
      </c>
      <c r="B75" s="19"/>
      <c r="C75" s="19"/>
      <c r="D75" s="19"/>
      <c r="E75" s="19"/>
      <c r="F75" s="19">
        <v>3</v>
      </c>
      <c r="G75" s="19">
        <v>1</v>
      </c>
      <c r="H75" s="19">
        <v>4</v>
      </c>
    </row>
    <row r="76" spans="1:8" x14ac:dyDescent="0.25">
      <c r="A76" s="181" t="s">
        <v>145</v>
      </c>
      <c r="B76" s="19">
        <v>2</v>
      </c>
      <c r="C76" s="19">
        <v>105</v>
      </c>
      <c r="D76" s="19">
        <v>3</v>
      </c>
      <c r="E76" s="19">
        <v>51</v>
      </c>
      <c r="F76" s="19">
        <v>1019</v>
      </c>
      <c r="G76" s="19">
        <v>229</v>
      </c>
      <c r="H76" s="19">
        <v>1409</v>
      </c>
    </row>
    <row r="77" spans="1:8" x14ac:dyDescent="0.25">
      <c r="A77" s="18" t="s">
        <v>106</v>
      </c>
      <c r="B77" s="19">
        <v>1</v>
      </c>
      <c r="C77" s="19">
        <v>90</v>
      </c>
      <c r="D77" s="19">
        <v>3</v>
      </c>
      <c r="E77" s="19">
        <v>41</v>
      </c>
      <c r="F77" s="19">
        <v>797</v>
      </c>
      <c r="G77" s="19">
        <v>210</v>
      </c>
      <c r="H77" s="19">
        <v>1142</v>
      </c>
    </row>
    <row r="78" spans="1:8" x14ac:dyDescent="0.25">
      <c r="A78" s="18" t="s">
        <v>150</v>
      </c>
      <c r="B78" s="19"/>
      <c r="C78" s="19">
        <v>4</v>
      </c>
      <c r="D78" s="19"/>
      <c r="E78" s="19"/>
      <c r="F78" s="19">
        <v>20</v>
      </c>
      <c r="G78" s="19"/>
      <c r="H78" s="19">
        <v>24</v>
      </c>
    </row>
    <row r="79" spans="1:8" x14ac:dyDescent="0.25">
      <c r="A79" s="18" t="s">
        <v>113</v>
      </c>
      <c r="B79" s="19">
        <v>1</v>
      </c>
      <c r="C79" s="19">
        <v>11</v>
      </c>
      <c r="D79" s="19"/>
      <c r="E79" s="19">
        <v>10</v>
      </c>
      <c r="F79" s="19">
        <v>202</v>
      </c>
      <c r="G79" s="19">
        <v>19</v>
      </c>
      <c r="H79" s="19">
        <v>243</v>
      </c>
    </row>
    <row r="80" spans="1:8" x14ac:dyDescent="0.25">
      <c r="A80" s="181" t="s">
        <v>143</v>
      </c>
      <c r="B80" s="19">
        <v>1</v>
      </c>
      <c r="C80" s="19"/>
      <c r="D80" s="19"/>
      <c r="E80" s="19"/>
      <c r="F80" s="19">
        <v>1</v>
      </c>
      <c r="G80" s="19"/>
      <c r="H80" s="19">
        <v>2</v>
      </c>
    </row>
    <row r="81" spans="1:8" x14ac:dyDescent="0.25">
      <c r="A81" s="18" t="s">
        <v>106</v>
      </c>
      <c r="B81" s="19"/>
      <c r="C81" s="19"/>
      <c r="D81" s="19"/>
      <c r="E81" s="19"/>
      <c r="F81" s="19">
        <v>1</v>
      </c>
      <c r="G81" s="19"/>
      <c r="H81" s="19">
        <v>1</v>
      </c>
    </row>
    <row r="82" spans="1:8" x14ac:dyDescent="0.25">
      <c r="A82" s="18" t="s">
        <v>113</v>
      </c>
      <c r="B82" s="19">
        <v>1</v>
      </c>
      <c r="C82" s="19"/>
      <c r="D82" s="19"/>
      <c r="E82" s="19"/>
      <c r="F82" s="19"/>
      <c r="G82" s="19"/>
      <c r="H82" s="19">
        <v>1</v>
      </c>
    </row>
    <row r="83" spans="1:8" x14ac:dyDescent="0.25">
      <c r="A83" s="181" t="s">
        <v>144</v>
      </c>
      <c r="B83" s="19">
        <v>1</v>
      </c>
      <c r="C83" s="19">
        <v>8</v>
      </c>
      <c r="D83" s="19"/>
      <c r="E83" s="19">
        <v>4</v>
      </c>
      <c r="F83" s="19">
        <v>17</v>
      </c>
      <c r="G83" s="19">
        <v>8</v>
      </c>
      <c r="H83" s="19">
        <v>38</v>
      </c>
    </row>
    <row r="84" spans="1:8" x14ac:dyDescent="0.25">
      <c r="A84" s="18" t="s">
        <v>106</v>
      </c>
      <c r="B84" s="19">
        <v>1</v>
      </c>
      <c r="C84" s="19">
        <v>4</v>
      </c>
      <c r="D84" s="19"/>
      <c r="E84" s="19">
        <v>2</v>
      </c>
      <c r="F84" s="19">
        <v>12</v>
      </c>
      <c r="G84" s="19">
        <v>2</v>
      </c>
      <c r="H84" s="19">
        <v>21</v>
      </c>
    </row>
    <row r="85" spans="1:8" x14ac:dyDescent="0.25">
      <c r="A85" s="18" t="s">
        <v>113</v>
      </c>
      <c r="B85" s="19"/>
      <c r="C85" s="19">
        <v>4</v>
      </c>
      <c r="D85" s="19"/>
      <c r="E85" s="19">
        <v>2</v>
      </c>
      <c r="F85" s="19">
        <v>5</v>
      </c>
      <c r="G85" s="19">
        <v>6</v>
      </c>
      <c r="H85" s="19">
        <v>17</v>
      </c>
    </row>
    <row r="86" spans="1:8" x14ac:dyDescent="0.25">
      <c r="A86" s="181" t="s">
        <v>142</v>
      </c>
      <c r="B86" s="19">
        <v>2</v>
      </c>
      <c r="C86" s="19">
        <v>67</v>
      </c>
      <c r="D86" s="19">
        <v>1</v>
      </c>
      <c r="E86" s="19">
        <v>34</v>
      </c>
      <c r="F86" s="19">
        <v>1152</v>
      </c>
      <c r="G86" s="19">
        <v>246</v>
      </c>
      <c r="H86" s="19">
        <v>1502</v>
      </c>
    </row>
    <row r="87" spans="1:8" x14ac:dyDescent="0.25">
      <c r="A87" s="18" t="s">
        <v>106</v>
      </c>
      <c r="B87" s="19">
        <v>2</v>
      </c>
      <c r="C87" s="19">
        <v>61</v>
      </c>
      <c r="D87" s="19">
        <v>1</v>
      </c>
      <c r="E87" s="19">
        <v>33</v>
      </c>
      <c r="F87" s="19">
        <v>1130</v>
      </c>
      <c r="G87" s="19">
        <v>243</v>
      </c>
      <c r="H87" s="19">
        <v>1470</v>
      </c>
    </row>
    <row r="88" spans="1:8" x14ac:dyDescent="0.25">
      <c r="A88" s="18" t="s">
        <v>150</v>
      </c>
      <c r="B88" s="19"/>
      <c r="C88" s="19"/>
      <c r="D88" s="19"/>
      <c r="E88" s="19"/>
      <c r="F88" s="19">
        <v>2</v>
      </c>
      <c r="G88" s="19"/>
      <c r="H88" s="19">
        <v>2</v>
      </c>
    </row>
    <row r="89" spans="1:8" x14ac:dyDescent="0.25">
      <c r="A89" s="18" t="s">
        <v>113</v>
      </c>
      <c r="B89" s="19"/>
      <c r="C89" s="19">
        <v>6</v>
      </c>
      <c r="D89" s="19"/>
      <c r="E89" s="19">
        <v>1</v>
      </c>
      <c r="F89" s="19">
        <v>20</v>
      </c>
      <c r="G89" s="19">
        <v>3</v>
      </c>
      <c r="H89" s="19">
        <v>30</v>
      </c>
    </row>
    <row r="90" spans="1:8" x14ac:dyDescent="0.25">
      <c r="A90" s="181" t="s">
        <v>148</v>
      </c>
      <c r="B90" s="19"/>
      <c r="C90" s="19"/>
      <c r="D90" s="19"/>
      <c r="E90" s="19">
        <v>10</v>
      </c>
      <c r="F90" s="19">
        <v>102</v>
      </c>
      <c r="G90" s="19">
        <v>3</v>
      </c>
      <c r="H90" s="19">
        <v>115</v>
      </c>
    </row>
    <row r="91" spans="1:8" x14ac:dyDescent="0.25">
      <c r="A91" s="18" t="s">
        <v>106</v>
      </c>
      <c r="B91" s="19"/>
      <c r="C91" s="19"/>
      <c r="D91" s="19"/>
      <c r="E91" s="19">
        <v>2</v>
      </c>
      <c r="F91" s="19">
        <v>36</v>
      </c>
      <c r="G91" s="19">
        <v>2</v>
      </c>
      <c r="H91" s="19">
        <v>40</v>
      </c>
    </row>
    <row r="92" spans="1:8" x14ac:dyDescent="0.25">
      <c r="A92" s="18" t="s">
        <v>150</v>
      </c>
      <c r="B92" s="19"/>
      <c r="C92" s="19"/>
      <c r="D92" s="19"/>
      <c r="E92" s="19">
        <v>1</v>
      </c>
      <c r="F92" s="19">
        <v>5</v>
      </c>
      <c r="G92" s="19"/>
      <c r="H92" s="19">
        <v>6</v>
      </c>
    </row>
    <row r="93" spans="1:8" x14ac:dyDescent="0.25">
      <c r="A93" s="18" t="s">
        <v>113</v>
      </c>
      <c r="B93" s="19"/>
      <c r="C93" s="19"/>
      <c r="D93" s="19"/>
      <c r="E93" s="19">
        <v>7</v>
      </c>
      <c r="F93" s="19">
        <v>61</v>
      </c>
      <c r="G93" s="19">
        <v>1</v>
      </c>
      <c r="H93" s="19">
        <v>69</v>
      </c>
    </row>
    <row r="94" spans="1:8" x14ac:dyDescent="0.25">
      <c r="A94" s="181" t="s">
        <v>139</v>
      </c>
      <c r="B94" s="19">
        <v>1</v>
      </c>
      <c r="C94" s="19">
        <v>8</v>
      </c>
      <c r="D94" s="19"/>
      <c r="E94" s="19">
        <v>10</v>
      </c>
      <c r="F94" s="19">
        <v>41</v>
      </c>
      <c r="G94" s="19">
        <v>1</v>
      </c>
      <c r="H94" s="19">
        <v>61</v>
      </c>
    </row>
    <row r="95" spans="1:8" x14ac:dyDescent="0.25">
      <c r="A95" s="18" t="s">
        <v>106</v>
      </c>
      <c r="B95" s="19">
        <v>1</v>
      </c>
      <c r="C95" s="19">
        <v>1</v>
      </c>
      <c r="D95" s="19"/>
      <c r="E95" s="19">
        <v>10</v>
      </c>
      <c r="F95" s="19">
        <v>19</v>
      </c>
      <c r="G95" s="19">
        <v>1</v>
      </c>
      <c r="H95" s="19">
        <v>32</v>
      </c>
    </row>
    <row r="96" spans="1:8" x14ac:dyDescent="0.25">
      <c r="A96" s="18" t="s">
        <v>150</v>
      </c>
      <c r="B96" s="19"/>
      <c r="C96" s="19">
        <v>2</v>
      </c>
      <c r="D96" s="19"/>
      <c r="E96" s="19"/>
      <c r="F96" s="19">
        <v>9</v>
      </c>
      <c r="G96" s="19"/>
      <c r="H96" s="19">
        <v>11</v>
      </c>
    </row>
    <row r="97" spans="1:22" x14ac:dyDescent="0.25">
      <c r="A97" s="18" t="s">
        <v>113</v>
      </c>
      <c r="B97" s="19"/>
      <c r="C97" s="19">
        <v>5</v>
      </c>
      <c r="D97" s="19"/>
      <c r="E97" s="19"/>
      <c r="F97" s="19">
        <v>13</v>
      </c>
      <c r="G97" s="19"/>
      <c r="H97" s="19">
        <v>18</v>
      </c>
    </row>
    <row r="98" spans="1:22" x14ac:dyDescent="0.25">
      <c r="A98" s="181" t="s">
        <v>151</v>
      </c>
      <c r="B98" s="19">
        <v>101</v>
      </c>
      <c r="C98" s="19">
        <v>340</v>
      </c>
      <c r="D98" s="19">
        <v>5</v>
      </c>
      <c r="E98" s="19">
        <v>179</v>
      </c>
      <c r="F98" s="19">
        <v>2849</v>
      </c>
      <c r="G98" s="19">
        <v>712</v>
      </c>
      <c r="H98" s="19">
        <v>4186</v>
      </c>
    </row>
    <row r="101" spans="1:22" ht="21" x14ac:dyDescent="0.35">
      <c r="A101" s="145" t="s">
        <v>384</v>
      </c>
    </row>
    <row r="102" spans="1:22" ht="15.75" x14ac:dyDescent="0.25">
      <c r="A102" s="175" t="s">
        <v>385</v>
      </c>
    </row>
    <row r="103" spans="1:22" x14ac:dyDescent="0.25">
      <c r="A103" s="19"/>
      <c r="B103" s="245" t="s">
        <v>153</v>
      </c>
      <c r="C103" s="246"/>
      <c r="D103" s="247"/>
      <c r="E103" s="245" t="s">
        <v>154</v>
      </c>
      <c r="F103" s="246"/>
      <c r="G103" s="247"/>
      <c r="H103" s="245" t="s">
        <v>155</v>
      </c>
      <c r="I103" s="246"/>
      <c r="J103" s="247"/>
      <c r="K103" s="245" t="s">
        <v>156</v>
      </c>
      <c r="L103" s="246"/>
      <c r="M103" s="247"/>
      <c r="N103" s="245" t="s">
        <v>157</v>
      </c>
      <c r="O103" s="246"/>
      <c r="P103" s="247"/>
      <c r="Q103" s="245" t="s">
        <v>158</v>
      </c>
      <c r="R103" s="246"/>
      <c r="S103" s="247"/>
      <c r="T103" s="81" t="s">
        <v>152</v>
      </c>
      <c r="U103" s="81" t="s">
        <v>213</v>
      </c>
      <c r="V103" s="81" t="s">
        <v>214</v>
      </c>
    </row>
    <row r="104" spans="1:22" x14ac:dyDescent="0.25">
      <c r="A104" s="81" t="s">
        <v>152</v>
      </c>
      <c r="B104" s="81" t="s">
        <v>350</v>
      </c>
      <c r="C104" s="81" t="s">
        <v>210</v>
      </c>
      <c r="D104" s="81" t="s">
        <v>211</v>
      </c>
      <c r="E104" s="81" t="s">
        <v>350</v>
      </c>
      <c r="F104" s="81" t="s">
        <v>210</v>
      </c>
      <c r="G104" s="81" t="s">
        <v>211</v>
      </c>
      <c r="H104" s="81" t="s">
        <v>350</v>
      </c>
      <c r="I104" s="81" t="s">
        <v>210</v>
      </c>
      <c r="J104" s="81" t="s">
        <v>211</v>
      </c>
      <c r="K104" s="81" t="s">
        <v>350</v>
      </c>
      <c r="L104" s="81" t="s">
        <v>210</v>
      </c>
      <c r="M104" s="81" t="s">
        <v>211</v>
      </c>
      <c r="N104" s="81" t="s">
        <v>350</v>
      </c>
      <c r="O104" s="81" t="s">
        <v>210</v>
      </c>
      <c r="P104" s="81" t="s">
        <v>211</v>
      </c>
      <c r="Q104" s="81" t="s">
        <v>350</v>
      </c>
      <c r="R104" s="81" t="s">
        <v>210</v>
      </c>
      <c r="S104" s="81" t="s">
        <v>211</v>
      </c>
      <c r="T104" s="81"/>
      <c r="U104" s="81"/>
      <c r="V104" s="81"/>
    </row>
    <row r="105" spans="1:22" x14ac:dyDescent="0.25">
      <c r="A105" s="181" t="s">
        <v>146</v>
      </c>
      <c r="B105" s="19"/>
      <c r="C105" s="19"/>
      <c r="D105" s="19"/>
      <c r="E105" s="19">
        <v>1</v>
      </c>
      <c r="F105" s="19">
        <v>1</v>
      </c>
      <c r="G105" s="19">
        <v>0</v>
      </c>
      <c r="H105" s="19"/>
      <c r="I105" s="19"/>
      <c r="J105" s="19"/>
      <c r="K105" s="19"/>
      <c r="L105" s="19"/>
      <c r="M105" s="19"/>
      <c r="N105" s="19"/>
      <c r="O105" s="19"/>
      <c r="P105" s="19"/>
      <c r="Q105" s="19"/>
      <c r="R105" s="19"/>
      <c r="S105" s="19"/>
      <c r="T105" s="19">
        <v>1</v>
      </c>
      <c r="U105" s="19">
        <v>1</v>
      </c>
      <c r="V105" s="19">
        <v>0</v>
      </c>
    </row>
    <row r="106" spans="1:22" x14ac:dyDescent="0.25">
      <c r="A106" s="18" t="s">
        <v>113</v>
      </c>
      <c r="B106" s="19"/>
      <c r="C106" s="19"/>
      <c r="D106" s="19"/>
      <c r="E106" s="19">
        <v>1</v>
      </c>
      <c r="F106" s="19">
        <v>1</v>
      </c>
      <c r="G106" s="19">
        <v>0</v>
      </c>
      <c r="H106" s="19"/>
      <c r="I106" s="19"/>
      <c r="J106" s="19"/>
      <c r="K106" s="19"/>
      <c r="L106" s="19"/>
      <c r="M106" s="19"/>
      <c r="N106" s="19"/>
      <c r="O106" s="19"/>
      <c r="P106" s="19"/>
      <c r="Q106" s="19"/>
      <c r="R106" s="19"/>
      <c r="S106" s="19"/>
      <c r="T106" s="19">
        <v>1</v>
      </c>
      <c r="U106" s="19">
        <v>1</v>
      </c>
      <c r="V106" s="19">
        <v>0</v>
      </c>
    </row>
    <row r="107" spans="1:22" x14ac:dyDescent="0.25">
      <c r="A107" s="181" t="s">
        <v>149</v>
      </c>
      <c r="B107" s="19"/>
      <c r="C107" s="19"/>
      <c r="D107" s="19"/>
      <c r="E107" s="19"/>
      <c r="F107" s="19"/>
      <c r="G107" s="19"/>
      <c r="H107" s="19"/>
      <c r="I107" s="19"/>
      <c r="J107" s="19"/>
      <c r="K107" s="19"/>
      <c r="L107" s="19"/>
      <c r="M107" s="19"/>
      <c r="N107" s="19">
        <v>3</v>
      </c>
      <c r="O107" s="19">
        <v>2</v>
      </c>
      <c r="P107" s="19">
        <v>0</v>
      </c>
      <c r="Q107" s="19"/>
      <c r="R107" s="19"/>
      <c r="S107" s="19"/>
      <c r="T107" s="19">
        <v>3</v>
      </c>
      <c r="U107" s="19">
        <v>2</v>
      </c>
      <c r="V107" s="19">
        <v>0</v>
      </c>
    </row>
    <row r="108" spans="1:22" x14ac:dyDescent="0.25">
      <c r="A108" s="18" t="s">
        <v>106</v>
      </c>
      <c r="B108" s="19"/>
      <c r="C108" s="19"/>
      <c r="D108" s="19"/>
      <c r="E108" s="19"/>
      <c r="F108" s="19"/>
      <c r="G108" s="19"/>
      <c r="H108" s="19"/>
      <c r="I108" s="19"/>
      <c r="J108" s="19"/>
      <c r="K108" s="19"/>
      <c r="L108" s="19"/>
      <c r="M108" s="19"/>
      <c r="N108" s="19">
        <v>1</v>
      </c>
      <c r="O108" s="19">
        <v>1</v>
      </c>
      <c r="P108" s="19">
        <v>0</v>
      </c>
      <c r="Q108" s="19"/>
      <c r="R108" s="19"/>
      <c r="S108" s="19"/>
      <c r="T108" s="19">
        <v>1</v>
      </c>
      <c r="U108" s="19">
        <v>1</v>
      </c>
      <c r="V108" s="19">
        <v>0</v>
      </c>
    </row>
    <row r="109" spans="1:22" x14ac:dyDescent="0.25">
      <c r="A109" s="18" t="s">
        <v>150</v>
      </c>
      <c r="B109" s="19"/>
      <c r="C109" s="19"/>
      <c r="D109" s="19"/>
      <c r="E109" s="19"/>
      <c r="F109" s="19"/>
      <c r="G109" s="19"/>
      <c r="H109" s="19"/>
      <c r="I109" s="19"/>
      <c r="J109" s="19"/>
      <c r="K109" s="19"/>
      <c r="L109" s="19"/>
      <c r="M109" s="19"/>
      <c r="N109" s="19">
        <v>1</v>
      </c>
      <c r="O109" s="19">
        <v>0</v>
      </c>
      <c r="P109" s="19">
        <v>0</v>
      </c>
      <c r="Q109" s="19"/>
      <c r="R109" s="19"/>
      <c r="S109" s="19"/>
      <c r="T109" s="19">
        <v>1</v>
      </c>
      <c r="U109" s="19">
        <v>0</v>
      </c>
      <c r="V109" s="19">
        <v>0</v>
      </c>
    </row>
    <row r="110" spans="1:22" x14ac:dyDescent="0.25">
      <c r="A110" s="18" t="s">
        <v>113</v>
      </c>
      <c r="B110" s="19"/>
      <c r="C110" s="19"/>
      <c r="D110" s="19"/>
      <c r="E110" s="19"/>
      <c r="F110" s="19"/>
      <c r="G110" s="19"/>
      <c r="H110" s="19"/>
      <c r="I110" s="19"/>
      <c r="J110" s="19"/>
      <c r="K110" s="19"/>
      <c r="L110" s="19"/>
      <c r="M110" s="19"/>
      <c r="N110" s="19"/>
      <c r="O110" s="19"/>
      <c r="P110" s="19"/>
      <c r="Q110" s="19"/>
      <c r="R110" s="19"/>
      <c r="S110" s="19"/>
      <c r="T110" s="19">
        <v>1</v>
      </c>
      <c r="U110" s="19">
        <v>1</v>
      </c>
      <c r="V110" s="19">
        <v>0</v>
      </c>
    </row>
    <row r="111" spans="1:22" x14ac:dyDescent="0.25">
      <c r="A111" s="181" t="s">
        <v>138</v>
      </c>
      <c r="B111" s="19">
        <v>68</v>
      </c>
      <c r="C111" s="19">
        <v>56</v>
      </c>
      <c r="D111" s="19">
        <v>12</v>
      </c>
      <c r="E111" s="19">
        <v>148</v>
      </c>
      <c r="F111" s="19">
        <v>81</v>
      </c>
      <c r="G111" s="19">
        <v>29</v>
      </c>
      <c r="H111" s="19">
        <v>1</v>
      </c>
      <c r="I111" s="19">
        <v>0</v>
      </c>
      <c r="J111" s="19">
        <v>0</v>
      </c>
      <c r="K111" s="19">
        <v>65</v>
      </c>
      <c r="L111" s="19">
        <v>1</v>
      </c>
      <c r="M111" s="19">
        <v>9</v>
      </c>
      <c r="N111" s="19">
        <v>486</v>
      </c>
      <c r="O111" s="19">
        <v>183</v>
      </c>
      <c r="P111" s="19">
        <v>52</v>
      </c>
      <c r="Q111" s="19">
        <v>214</v>
      </c>
      <c r="R111" s="19">
        <v>179</v>
      </c>
      <c r="S111" s="19">
        <v>23</v>
      </c>
      <c r="T111" s="19">
        <v>982</v>
      </c>
      <c r="U111" s="19">
        <v>500</v>
      </c>
      <c r="V111" s="19">
        <v>125</v>
      </c>
    </row>
    <row r="112" spans="1:22" x14ac:dyDescent="0.25">
      <c r="A112" s="18" t="s">
        <v>106</v>
      </c>
      <c r="B112" s="19">
        <v>29</v>
      </c>
      <c r="C112" s="19">
        <v>23</v>
      </c>
      <c r="D112" s="19">
        <v>6</v>
      </c>
      <c r="E112" s="19">
        <v>68</v>
      </c>
      <c r="F112" s="19">
        <v>45</v>
      </c>
      <c r="G112" s="19">
        <v>14</v>
      </c>
      <c r="H112" s="19"/>
      <c r="I112" s="19"/>
      <c r="J112" s="19"/>
      <c r="K112" s="19">
        <v>36</v>
      </c>
      <c r="L112" s="19">
        <v>0</v>
      </c>
      <c r="M112" s="19">
        <v>3</v>
      </c>
      <c r="N112" s="19">
        <v>178</v>
      </c>
      <c r="O112" s="19">
        <v>53</v>
      </c>
      <c r="P112" s="19">
        <v>32</v>
      </c>
      <c r="Q112" s="19">
        <v>194</v>
      </c>
      <c r="R112" s="19">
        <v>162</v>
      </c>
      <c r="S112" s="19">
        <v>21</v>
      </c>
      <c r="T112" s="19">
        <v>505</v>
      </c>
      <c r="U112" s="19">
        <v>283</v>
      </c>
      <c r="V112" s="19">
        <v>76</v>
      </c>
    </row>
    <row r="113" spans="1:22" x14ac:dyDescent="0.25">
      <c r="A113" s="18" t="s">
        <v>150</v>
      </c>
      <c r="B113" s="19"/>
      <c r="C113" s="19"/>
      <c r="D113" s="19"/>
      <c r="E113" s="19">
        <v>30</v>
      </c>
      <c r="F113" s="19">
        <v>6</v>
      </c>
      <c r="G113" s="19">
        <v>1</v>
      </c>
      <c r="H113" s="19">
        <v>1</v>
      </c>
      <c r="I113" s="19">
        <v>0</v>
      </c>
      <c r="J113" s="19">
        <v>0</v>
      </c>
      <c r="K113" s="19">
        <v>15</v>
      </c>
      <c r="L113" s="19">
        <v>0</v>
      </c>
      <c r="M113" s="19">
        <v>1</v>
      </c>
      <c r="N113" s="19">
        <v>141</v>
      </c>
      <c r="O113" s="19">
        <v>48</v>
      </c>
      <c r="P113" s="19">
        <v>7</v>
      </c>
      <c r="Q113" s="19"/>
      <c r="R113" s="19"/>
      <c r="S113" s="19"/>
      <c r="T113" s="19">
        <v>187</v>
      </c>
      <c r="U113" s="19">
        <v>54</v>
      </c>
      <c r="V113" s="19">
        <v>9</v>
      </c>
    </row>
    <row r="114" spans="1:22" x14ac:dyDescent="0.25">
      <c r="A114" s="18" t="s">
        <v>113</v>
      </c>
      <c r="B114" s="19">
        <v>39</v>
      </c>
      <c r="C114" s="19">
        <v>33</v>
      </c>
      <c r="D114" s="19">
        <v>6</v>
      </c>
      <c r="E114" s="19">
        <v>50</v>
      </c>
      <c r="F114" s="19">
        <v>30</v>
      </c>
      <c r="G114" s="19">
        <v>14</v>
      </c>
      <c r="H114" s="19"/>
      <c r="I114" s="19"/>
      <c r="J114" s="19"/>
      <c r="K114" s="19">
        <v>14</v>
      </c>
      <c r="L114" s="19">
        <v>1</v>
      </c>
      <c r="M114" s="19">
        <v>5</v>
      </c>
      <c r="N114" s="19">
        <v>167</v>
      </c>
      <c r="O114" s="19">
        <v>82</v>
      </c>
      <c r="P114" s="19">
        <v>13</v>
      </c>
      <c r="Q114" s="19">
        <v>20</v>
      </c>
      <c r="R114" s="19">
        <v>17</v>
      </c>
      <c r="S114" s="19">
        <v>2</v>
      </c>
      <c r="T114" s="19">
        <v>290</v>
      </c>
      <c r="U114" s="19">
        <v>163</v>
      </c>
      <c r="V114" s="19">
        <v>40</v>
      </c>
    </row>
    <row r="115" spans="1:22" x14ac:dyDescent="0.25">
      <c r="A115" s="181" t="s">
        <v>147</v>
      </c>
      <c r="B115" s="19"/>
      <c r="C115" s="19"/>
      <c r="D115" s="19"/>
      <c r="E115" s="19"/>
      <c r="F115" s="19"/>
      <c r="G115" s="19"/>
      <c r="H115" s="19"/>
      <c r="I115" s="19"/>
      <c r="J115" s="19"/>
      <c r="K115" s="19"/>
      <c r="L115" s="19"/>
      <c r="M115" s="19"/>
      <c r="N115" s="19">
        <v>1</v>
      </c>
      <c r="O115" s="19">
        <v>1</v>
      </c>
      <c r="P115" s="19">
        <v>0</v>
      </c>
      <c r="Q115" s="19">
        <v>1</v>
      </c>
      <c r="R115" s="19">
        <v>1</v>
      </c>
      <c r="S115" s="19">
        <v>0</v>
      </c>
      <c r="T115" s="19">
        <v>2</v>
      </c>
      <c r="U115" s="19">
        <v>2</v>
      </c>
      <c r="V115" s="19">
        <v>0</v>
      </c>
    </row>
    <row r="116" spans="1:22" x14ac:dyDescent="0.25">
      <c r="A116" s="18" t="s">
        <v>106</v>
      </c>
      <c r="B116" s="19"/>
      <c r="C116" s="19"/>
      <c r="D116" s="19"/>
      <c r="E116" s="19"/>
      <c r="F116" s="19"/>
      <c r="G116" s="19"/>
      <c r="H116" s="19"/>
      <c r="I116" s="19"/>
      <c r="J116" s="19"/>
      <c r="K116" s="19"/>
      <c r="L116" s="19"/>
      <c r="M116" s="19"/>
      <c r="N116" s="19">
        <v>1</v>
      </c>
      <c r="O116" s="19">
        <v>1</v>
      </c>
      <c r="P116" s="19">
        <v>0</v>
      </c>
      <c r="Q116" s="19">
        <v>1</v>
      </c>
      <c r="R116" s="19">
        <v>1</v>
      </c>
      <c r="S116" s="19">
        <v>0</v>
      </c>
      <c r="T116" s="19">
        <v>2</v>
      </c>
      <c r="U116" s="19">
        <v>2</v>
      </c>
      <c r="V116" s="19">
        <v>0</v>
      </c>
    </row>
    <row r="117" spans="1:22" x14ac:dyDescent="0.25">
      <c r="A117" s="181" t="s">
        <v>140</v>
      </c>
      <c r="B117" s="19">
        <v>25</v>
      </c>
      <c r="C117" s="19">
        <v>22</v>
      </c>
      <c r="D117" s="19">
        <v>3</v>
      </c>
      <c r="E117" s="19">
        <v>3</v>
      </c>
      <c r="F117" s="19">
        <v>2</v>
      </c>
      <c r="G117" s="19">
        <v>1</v>
      </c>
      <c r="H117" s="19"/>
      <c r="I117" s="19"/>
      <c r="J117" s="19"/>
      <c r="K117" s="19">
        <v>2</v>
      </c>
      <c r="L117" s="19">
        <v>0</v>
      </c>
      <c r="M117" s="19">
        <v>0</v>
      </c>
      <c r="N117" s="19">
        <v>9</v>
      </c>
      <c r="O117" s="19">
        <v>1</v>
      </c>
      <c r="P117" s="19">
        <v>1</v>
      </c>
      <c r="Q117" s="19">
        <v>9</v>
      </c>
      <c r="R117" s="19">
        <v>4</v>
      </c>
      <c r="S117" s="19">
        <v>4</v>
      </c>
      <c r="T117" s="19">
        <v>48</v>
      </c>
      <c r="U117" s="19">
        <v>29</v>
      </c>
      <c r="V117" s="19">
        <v>9</v>
      </c>
    </row>
    <row r="118" spans="1:22" x14ac:dyDescent="0.25">
      <c r="A118" s="18" t="s">
        <v>106</v>
      </c>
      <c r="B118" s="19">
        <v>19</v>
      </c>
      <c r="C118" s="19">
        <v>18</v>
      </c>
      <c r="D118" s="19">
        <v>1</v>
      </c>
      <c r="E118" s="19">
        <v>3</v>
      </c>
      <c r="F118" s="19">
        <v>2</v>
      </c>
      <c r="G118" s="19">
        <v>1</v>
      </c>
      <c r="H118" s="19"/>
      <c r="I118" s="19"/>
      <c r="J118" s="19"/>
      <c r="K118" s="19">
        <v>2</v>
      </c>
      <c r="L118" s="19">
        <v>0</v>
      </c>
      <c r="M118" s="19">
        <v>0</v>
      </c>
      <c r="N118" s="19">
        <v>7</v>
      </c>
      <c r="O118" s="19">
        <v>0</v>
      </c>
      <c r="P118" s="19">
        <v>1</v>
      </c>
      <c r="Q118" s="19">
        <v>9</v>
      </c>
      <c r="R118" s="19">
        <v>4</v>
      </c>
      <c r="S118" s="19">
        <v>4</v>
      </c>
      <c r="T118" s="19">
        <v>40</v>
      </c>
      <c r="U118" s="19">
        <v>24</v>
      </c>
      <c r="V118" s="19">
        <v>7</v>
      </c>
    </row>
    <row r="119" spans="1:22" x14ac:dyDescent="0.25">
      <c r="A119" s="18" t="s">
        <v>113</v>
      </c>
      <c r="B119" s="19">
        <v>6</v>
      </c>
      <c r="C119" s="19">
        <v>4</v>
      </c>
      <c r="D119" s="19">
        <v>2</v>
      </c>
      <c r="E119" s="19"/>
      <c r="F119" s="19"/>
      <c r="G119" s="19"/>
      <c r="H119" s="19"/>
      <c r="I119" s="19"/>
      <c r="J119" s="19"/>
      <c r="K119" s="19"/>
      <c r="L119" s="19"/>
      <c r="M119" s="19"/>
      <c r="N119" s="19">
        <v>2</v>
      </c>
      <c r="O119" s="19">
        <v>1</v>
      </c>
      <c r="P119" s="19">
        <v>0</v>
      </c>
      <c r="Q119" s="19"/>
      <c r="R119" s="19"/>
      <c r="S119" s="19"/>
      <c r="T119" s="19">
        <v>8</v>
      </c>
      <c r="U119" s="19">
        <v>5</v>
      </c>
      <c r="V119" s="19">
        <v>2</v>
      </c>
    </row>
    <row r="120" spans="1:22" x14ac:dyDescent="0.25">
      <c r="A120" s="181" t="s">
        <v>141</v>
      </c>
      <c r="B120" s="19">
        <v>1</v>
      </c>
      <c r="C120" s="19">
        <v>1</v>
      </c>
      <c r="D120" s="19">
        <v>0</v>
      </c>
      <c r="E120" s="19"/>
      <c r="F120" s="19"/>
      <c r="G120" s="19"/>
      <c r="H120" s="19"/>
      <c r="I120" s="19"/>
      <c r="J120" s="19"/>
      <c r="K120" s="19">
        <v>3</v>
      </c>
      <c r="L120" s="19">
        <v>0</v>
      </c>
      <c r="M120" s="19">
        <v>1</v>
      </c>
      <c r="N120" s="19">
        <v>18</v>
      </c>
      <c r="O120" s="19">
        <v>6</v>
      </c>
      <c r="P120" s="19">
        <v>8</v>
      </c>
      <c r="Q120" s="19">
        <v>1</v>
      </c>
      <c r="R120" s="19">
        <v>0</v>
      </c>
      <c r="S120" s="19">
        <v>0</v>
      </c>
      <c r="T120" s="19">
        <v>23</v>
      </c>
      <c r="U120" s="19">
        <v>7</v>
      </c>
      <c r="V120" s="19">
        <v>9</v>
      </c>
    </row>
    <row r="121" spans="1:22" x14ac:dyDescent="0.25">
      <c r="A121" s="18" t="s">
        <v>106</v>
      </c>
      <c r="B121" s="19">
        <v>1</v>
      </c>
      <c r="C121" s="19">
        <v>1</v>
      </c>
      <c r="D121" s="19">
        <v>0</v>
      </c>
      <c r="E121" s="19"/>
      <c r="F121" s="19"/>
      <c r="G121" s="19"/>
      <c r="H121" s="19"/>
      <c r="I121" s="19"/>
      <c r="J121" s="19"/>
      <c r="K121" s="19">
        <v>2</v>
      </c>
      <c r="L121" s="19">
        <v>0</v>
      </c>
      <c r="M121" s="19">
        <v>1</v>
      </c>
      <c r="N121" s="19">
        <v>14</v>
      </c>
      <c r="O121" s="19">
        <v>4</v>
      </c>
      <c r="P121" s="19">
        <v>7</v>
      </c>
      <c r="Q121" s="19"/>
      <c r="R121" s="19"/>
      <c r="S121" s="19"/>
      <c r="T121" s="19">
        <v>17</v>
      </c>
      <c r="U121" s="19">
        <v>5</v>
      </c>
      <c r="V121" s="19">
        <v>8</v>
      </c>
    </row>
    <row r="122" spans="1:22" x14ac:dyDescent="0.25">
      <c r="A122" s="18" t="s">
        <v>150</v>
      </c>
      <c r="B122" s="19"/>
      <c r="C122" s="19"/>
      <c r="D122" s="19"/>
      <c r="E122" s="19"/>
      <c r="F122" s="19"/>
      <c r="G122" s="19"/>
      <c r="H122" s="19"/>
      <c r="I122" s="19"/>
      <c r="J122" s="19"/>
      <c r="K122" s="19">
        <v>1</v>
      </c>
      <c r="L122" s="19">
        <v>0</v>
      </c>
      <c r="M122" s="19">
        <v>0</v>
      </c>
      <c r="N122" s="19">
        <v>1</v>
      </c>
      <c r="O122" s="19">
        <v>0</v>
      </c>
      <c r="P122" s="19">
        <v>0</v>
      </c>
      <c r="Q122" s="19"/>
      <c r="R122" s="19"/>
      <c r="S122" s="19"/>
      <c r="T122" s="19">
        <v>2</v>
      </c>
      <c r="U122" s="19">
        <v>0</v>
      </c>
      <c r="V122" s="19">
        <v>0</v>
      </c>
    </row>
    <row r="123" spans="1:22" x14ac:dyDescent="0.25">
      <c r="A123" s="18" t="s">
        <v>113</v>
      </c>
      <c r="B123" s="19"/>
      <c r="C123" s="19"/>
      <c r="D123" s="19"/>
      <c r="E123" s="19"/>
      <c r="F123" s="19"/>
      <c r="G123" s="19"/>
      <c r="H123" s="19"/>
      <c r="I123" s="19"/>
      <c r="J123" s="19"/>
      <c r="K123" s="19"/>
      <c r="L123" s="19"/>
      <c r="M123" s="19"/>
      <c r="N123" s="19">
        <v>3</v>
      </c>
      <c r="O123" s="19">
        <v>2</v>
      </c>
      <c r="P123" s="19">
        <v>1</v>
      </c>
      <c r="Q123" s="19">
        <v>1</v>
      </c>
      <c r="R123" s="19">
        <v>0</v>
      </c>
      <c r="S123" s="19">
        <v>0</v>
      </c>
      <c r="T123" s="19">
        <v>4</v>
      </c>
      <c r="U123" s="19">
        <v>2</v>
      </c>
      <c r="V123" s="19">
        <v>1</v>
      </c>
    </row>
    <row r="124" spans="1:22" x14ac:dyDescent="0.25">
      <c r="A124" s="181" t="s">
        <v>145</v>
      </c>
      <c r="B124" s="19">
        <v>2</v>
      </c>
      <c r="C124" s="19">
        <v>2</v>
      </c>
      <c r="D124" s="19">
        <v>0</v>
      </c>
      <c r="E124" s="19">
        <v>105</v>
      </c>
      <c r="F124" s="19">
        <v>101</v>
      </c>
      <c r="G124" s="19">
        <v>2</v>
      </c>
      <c r="H124" s="19">
        <v>3</v>
      </c>
      <c r="I124" s="19">
        <v>3</v>
      </c>
      <c r="J124" s="19">
        <v>0</v>
      </c>
      <c r="K124" s="19">
        <v>51</v>
      </c>
      <c r="L124" s="19">
        <v>40</v>
      </c>
      <c r="M124" s="19">
        <v>10</v>
      </c>
      <c r="N124" s="19">
        <v>1019</v>
      </c>
      <c r="O124" s="19">
        <v>765</v>
      </c>
      <c r="P124" s="19">
        <v>250</v>
      </c>
      <c r="Q124" s="19">
        <v>229</v>
      </c>
      <c r="R124" s="19">
        <v>223</v>
      </c>
      <c r="S124" s="19">
        <v>4</v>
      </c>
      <c r="T124" s="19">
        <v>1409</v>
      </c>
      <c r="U124" s="19">
        <v>1134</v>
      </c>
      <c r="V124" s="19">
        <v>266</v>
      </c>
    </row>
    <row r="125" spans="1:22" x14ac:dyDescent="0.25">
      <c r="A125" s="18" t="s">
        <v>106</v>
      </c>
      <c r="B125" s="19">
        <v>1</v>
      </c>
      <c r="C125" s="19">
        <v>1</v>
      </c>
      <c r="D125" s="19">
        <v>0</v>
      </c>
      <c r="E125" s="19">
        <v>90</v>
      </c>
      <c r="F125" s="19">
        <v>87</v>
      </c>
      <c r="G125" s="19">
        <v>2</v>
      </c>
      <c r="H125" s="19">
        <v>3</v>
      </c>
      <c r="I125" s="19">
        <v>3</v>
      </c>
      <c r="J125" s="19">
        <v>0</v>
      </c>
      <c r="K125" s="19">
        <v>41</v>
      </c>
      <c r="L125" s="19">
        <v>40</v>
      </c>
      <c r="M125" s="19">
        <v>1</v>
      </c>
      <c r="N125" s="19">
        <v>797</v>
      </c>
      <c r="O125" s="19">
        <v>582</v>
      </c>
      <c r="P125" s="19">
        <v>211</v>
      </c>
      <c r="Q125" s="19">
        <v>210</v>
      </c>
      <c r="R125" s="19">
        <v>204</v>
      </c>
      <c r="S125" s="19">
        <v>4</v>
      </c>
      <c r="T125" s="19">
        <v>1142</v>
      </c>
      <c r="U125" s="19">
        <v>917</v>
      </c>
      <c r="V125" s="19">
        <v>218</v>
      </c>
    </row>
    <row r="126" spans="1:22" x14ac:dyDescent="0.25">
      <c r="A126" s="18" t="s">
        <v>150</v>
      </c>
      <c r="B126" s="19"/>
      <c r="C126" s="19"/>
      <c r="D126" s="19"/>
      <c r="E126" s="19">
        <v>4</v>
      </c>
      <c r="F126" s="19">
        <v>3</v>
      </c>
      <c r="G126" s="19">
        <v>0</v>
      </c>
      <c r="H126" s="19"/>
      <c r="I126" s="19"/>
      <c r="J126" s="19"/>
      <c r="K126" s="19"/>
      <c r="L126" s="19"/>
      <c r="M126" s="19"/>
      <c r="N126" s="19">
        <v>20</v>
      </c>
      <c r="O126" s="19">
        <v>12</v>
      </c>
      <c r="P126" s="19">
        <v>8</v>
      </c>
      <c r="Q126" s="19"/>
      <c r="R126" s="19"/>
      <c r="S126" s="19"/>
      <c r="T126" s="19">
        <v>24</v>
      </c>
      <c r="U126" s="19">
        <v>15</v>
      </c>
      <c r="V126" s="19">
        <v>8</v>
      </c>
    </row>
    <row r="127" spans="1:22" x14ac:dyDescent="0.25">
      <c r="A127" s="18" t="s">
        <v>113</v>
      </c>
      <c r="B127" s="19">
        <v>1</v>
      </c>
      <c r="C127" s="19">
        <v>1</v>
      </c>
      <c r="D127" s="19">
        <v>0</v>
      </c>
      <c r="E127" s="19">
        <v>11</v>
      </c>
      <c r="F127" s="19">
        <v>11</v>
      </c>
      <c r="G127" s="19">
        <v>0</v>
      </c>
      <c r="H127" s="19"/>
      <c r="I127" s="19"/>
      <c r="J127" s="19"/>
      <c r="K127" s="19">
        <v>10</v>
      </c>
      <c r="L127" s="19">
        <v>0</v>
      </c>
      <c r="M127" s="19">
        <v>9</v>
      </c>
      <c r="N127" s="19">
        <v>202</v>
      </c>
      <c r="O127" s="19">
        <v>171</v>
      </c>
      <c r="P127" s="19">
        <v>31</v>
      </c>
      <c r="Q127" s="19">
        <v>19</v>
      </c>
      <c r="R127" s="19">
        <v>19</v>
      </c>
      <c r="S127" s="19">
        <v>0</v>
      </c>
      <c r="T127" s="19">
        <v>243</v>
      </c>
      <c r="U127" s="19">
        <v>202</v>
      </c>
      <c r="V127" s="19">
        <v>40</v>
      </c>
    </row>
    <row r="128" spans="1:22" x14ac:dyDescent="0.25">
      <c r="A128" s="181" t="s">
        <v>143</v>
      </c>
      <c r="B128" s="19">
        <v>1</v>
      </c>
      <c r="C128" s="19">
        <v>1</v>
      </c>
      <c r="D128" s="19">
        <v>0</v>
      </c>
      <c r="E128" s="19"/>
      <c r="F128" s="19"/>
      <c r="G128" s="19"/>
      <c r="H128" s="19"/>
      <c r="I128" s="19"/>
      <c r="J128" s="19"/>
      <c r="K128" s="19"/>
      <c r="L128" s="19"/>
      <c r="M128" s="19"/>
      <c r="N128" s="19">
        <v>1</v>
      </c>
      <c r="O128" s="19">
        <v>0</v>
      </c>
      <c r="P128" s="19">
        <v>1</v>
      </c>
      <c r="Q128" s="19"/>
      <c r="R128" s="19"/>
      <c r="S128" s="19"/>
      <c r="T128" s="19">
        <v>2</v>
      </c>
      <c r="U128" s="19">
        <v>1</v>
      </c>
      <c r="V128" s="19">
        <v>1</v>
      </c>
    </row>
    <row r="129" spans="1:22" x14ac:dyDescent="0.25">
      <c r="A129" s="18" t="s">
        <v>106</v>
      </c>
      <c r="B129" s="19"/>
      <c r="C129" s="19"/>
      <c r="D129" s="19"/>
      <c r="E129" s="19"/>
      <c r="F129" s="19"/>
      <c r="G129" s="19"/>
      <c r="H129" s="19"/>
      <c r="I129" s="19"/>
      <c r="J129" s="19"/>
      <c r="K129" s="19"/>
      <c r="L129" s="19"/>
      <c r="M129" s="19"/>
      <c r="N129" s="19">
        <v>1</v>
      </c>
      <c r="O129" s="19">
        <v>0</v>
      </c>
      <c r="P129" s="19">
        <v>1</v>
      </c>
      <c r="Q129" s="19"/>
      <c r="R129" s="19"/>
      <c r="S129" s="19"/>
      <c r="T129" s="19">
        <v>1</v>
      </c>
      <c r="U129" s="19">
        <v>0</v>
      </c>
      <c r="V129" s="19">
        <v>1</v>
      </c>
    </row>
    <row r="130" spans="1:22" x14ac:dyDescent="0.25">
      <c r="A130" s="18" t="s">
        <v>113</v>
      </c>
      <c r="B130" s="19">
        <v>1</v>
      </c>
      <c r="C130" s="19">
        <v>1</v>
      </c>
      <c r="D130" s="19">
        <v>0</v>
      </c>
      <c r="E130" s="19"/>
      <c r="F130" s="19"/>
      <c r="G130" s="19"/>
      <c r="H130" s="19"/>
      <c r="I130" s="19"/>
      <c r="J130" s="19"/>
      <c r="K130" s="19"/>
      <c r="L130" s="19"/>
      <c r="M130" s="19"/>
      <c r="N130" s="19"/>
      <c r="O130" s="19"/>
      <c r="P130" s="19"/>
      <c r="Q130" s="19"/>
      <c r="R130" s="19"/>
      <c r="S130" s="19"/>
      <c r="T130" s="19">
        <v>1</v>
      </c>
      <c r="U130" s="19">
        <v>1</v>
      </c>
      <c r="V130" s="19">
        <v>0</v>
      </c>
    </row>
    <row r="131" spans="1:22" x14ac:dyDescent="0.25">
      <c r="A131" s="181" t="s">
        <v>144</v>
      </c>
      <c r="B131" s="19">
        <v>1</v>
      </c>
      <c r="C131" s="19">
        <v>1</v>
      </c>
      <c r="D131" s="19">
        <v>0</v>
      </c>
      <c r="E131" s="19">
        <v>8</v>
      </c>
      <c r="F131" s="19">
        <v>5</v>
      </c>
      <c r="G131" s="19">
        <v>2</v>
      </c>
      <c r="H131" s="19"/>
      <c r="I131" s="19"/>
      <c r="J131" s="19"/>
      <c r="K131" s="19">
        <v>4</v>
      </c>
      <c r="L131" s="19">
        <v>0</v>
      </c>
      <c r="M131" s="19">
        <v>0</v>
      </c>
      <c r="N131" s="19">
        <v>17</v>
      </c>
      <c r="O131" s="19">
        <v>7</v>
      </c>
      <c r="P131" s="19">
        <v>7</v>
      </c>
      <c r="Q131" s="19">
        <v>8</v>
      </c>
      <c r="R131" s="19">
        <v>7</v>
      </c>
      <c r="S131" s="19">
        <v>0</v>
      </c>
      <c r="T131" s="19">
        <v>38</v>
      </c>
      <c r="U131" s="19">
        <v>20</v>
      </c>
      <c r="V131" s="19">
        <v>9</v>
      </c>
    </row>
    <row r="132" spans="1:22" x14ac:dyDescent="0.25">
      <c r="A132" s="18" t="s">
        <v>106</v>
      </c>
      <c r="B132" s="19">
        <v>1</v>
      </c>
      <c r="C132" s="19">
        <v>1</v>
      </c>
      <c r="D132" s="19">
        <v>0</v>
      </c>
      <c r="E132" s="19">
        <v>4</v>
      </c>
      <c r="F132" s="19">
        <v>4</v>
      </c>
      <c r="G132" s="19">
        <v>0</v>
      </c>
      <c r="H132" s="19"/>
      <c r="I132" s="19"/>
      <c r="J132" s="19"/>
      <c r="K132" s="19">
        <v>2</v>
      </c>
      <c r="L132" s="19">
        <v>0</v>
      </c>
      <c r="M132" s="19">
        <v>0</v>
      </c>
      <c r="N132" s="19">
        <v>12</v>
      </c>
      <c r="O132" s="19">
        <v>5</v>
      </c>
      <c r="P132" s="19">
        <v>6</v>
      </c>
      <c r="Q132" s="19">
        <v>2</v>
      </c>
      <c r="R132" s="19">
        <v>2</v>
      </c>
      <c r="S132" s="19">
        <v>0</v>
      </c>
      <c r="T132" s="19">
        <v>21</v>
      </c>
      <c r="U132" s="19">
        <v>12</v>
      </c>
      <c r="V132" s="19">
        <v>6</v>
      </c>
    </row>
    <row r="133" spans="1:22" x14ac:dyDescent="0.25">
      <c r="A133" s="18" t="s">
        <v>113</v>
      </c>
      <c r="B133" s="19"/>
      <c r="C133" s="19"/>
      <c r="D133" s="19"/>
      <c r="E133" s="19">
        <v>4</v>
      </c>
      <c r="F133" s="19">
        <v>1</v>
      </c>
      <c r="G133" s="19">
        <v>2</v>
      </c>
      <c r="H133" s="19"/>
      <c r="I133" s="19"/>
      <c r="J133" s="19"/>
      <c r="K133" s="19">
        <v>2</v>
      </c>
      <c r="L133" s="19">
        <v>0</v>
      </c>
      <c r="M133" s="19">
        <v>0</v>
      </c>
      <c r="N133" s="19">
        <v>5</v>
      </c>
      <c r="O133" s="19">
        <v>2</v>
      </c>
      <c r="P133" s="19">
        <v>1</v>
      </c>
      <c r="Q133" s="19">
        <v>6</v>
      </c>
      <c r="R133" s="19">
        <v>5</v>
      </c>
      <c r="S133" s="19">
        <v>0</v>
      </c>
      <c r="T133" s="19">
        <v>17</v>
      </c>
      <c r="U133" s="19">
        <v>8</v>
      </c>
      <c r="V133" s="19">
        <v>3</v>
      </c>
    </row>
    <row r="134" spans="1:22" x14ac:dyDescent="0.25">
      <c r="A134" s="181" t="s">
        <v>142</v>
      </c>
      <c r="B134" s="19">
        <v>2</v>
      </c>
      <c r="C134" s="19">
        <v>1</v>
      </c>
      <c r="D134" s="19">
        <v>0</v>
      </c>
      <c r="E134" s="19">
        <v>67</v>
      </c>
      <c r="F134" s="19">
        <v>60</v>
      </c>
      <c r="G134" s="19">
        <v>3</v>
      </c>
      <c r="H134" s="19">
        <v>1</v>
      </c>
      <c r="I134" s="19">
        <v>1</v>
      </c>
      <c r="J134" s="19">
        <v>0</v>
      </c>
      <c r="K134" s="19">
        <v>34</v>
      </c>
      <c r="L134" s="19">
        <v>12</v>
      </c>
      <c r="M134" s="19">
        <v>4</v>
      </c>
      <c r="N134" s="19">
        <v>1152</v>
      </c>
      <c r="O134" s="19">
        <v>654</v>
      </c>
      <c r="P134" s="19">
        <v>390</v>
      </c>
      <c r="Q134" s="19">
        <v>246</v>
      </c>
      <c r="R134" s="19">
        <v>239</v>
      </c>
      <c r="S134" s="19">
        <v>5</v>
      </c>
      <c r="T134" s="19">
        <v>1502</v>
      </c>
      <c r="U134" s="19">
        <v>967</v>
      </c>
      <c r="V134" s="19">
        <v>402</v>
      </c>
    </row>
    <row r="135" spans="1:22" x14ac:dyDescent="0.25">
      <c r="A135" s="18" t="s">
        <v>106</v>
      </c>
      <c r="B135" s="19">
        <v>2</v>
      </c>
      <c r="C135" s="19">
        <v>1</v>
      </c>
      <c r="D135" s="19">
        <v>0</v>
      </c>
      <c r="E135" s="19">
        <v>61</v>
      </c>
      <c r="F135" s="19">
        <v>57</v>
      </c>
      <c r="G135" s="19">
        <v>3</v>
      </c>
      <c r="H135" s="19">
        <v>1</v>
      </c>
      <c r="I135" s="19">
        <v>1</v>
      </c>
      <c r="J135" s="19">
        <v>0</v>
      </c>
      <c r="K135" s="19">
        <v>33</v>
      </c>
      <c r="L135" s="19">
        <v>12</v>
      </c>
      <c r="M135" s="19">
        <v>3</v>
      </c>
      <c r="N135" s="19">
        <v>1130</v>
      </c>
      <c r="O135" s="19">
        <v>641</v>
      </c>
      <c r="P135" s="19">
        <v>384</v>
      </c>
      <c r="Q135" s="19">
        <v>243</v>
      </c>
      <c r="R135" s="19">
        <v>238</v>
      </c>
      <c r="S135" s="19">
        <v>5</v>
      </c>
      <c r="T135" s="19">
        <v>1470</v>
      </c>
      <c r="U135" s="19">
        <v>950</v>
      </c>
      <c r="V135" s="19">
        <v>395</v>
      </c>
    </row>
    <row r="136" spans="1:22" x14ac:dyDescent="0.25">
      <c r="A136" s="18" t="s">
        <v>150</v>
      </c>
      <c r="B136" s="19"/>
      <c r="C136" s="19"/>
      <c r="D136" s="19"/>
      <c r="E136" s="19"/>
      <c r="F136" s="19"/>
      <c r="G136" s="19"/>
      <c r="H136" s="19"/>
      <c r="I136" s="19"/>
      <c r="J136" s="19"/>
      <c r="K136" s="19"/>
      <c r="L136" s="19"/>
      <c r="M136" s="19"/>
      <c r="N136" s="19">
        <v>2</v>
      </c>
      <c r="O136" s="19">
        <v>2</v>
      </c>
      <c r="P136" s="19">
        <v>0</v>
      </c>
      <c r="Q136" s="19"/>
      <c r="R136" s="19"/>
      <c r="S136" s="19"/>
      <c r="T136" s="19">
        <v>2</v>
      </c>
      <c r="U136" s="19">
        <v>2</v>
      </c>
      <c r="V136" s="19">
        <v>0</v>
      </c>
    </row>
    <row r="137" spans="1:22" x14ac:dyDescent="0.25">
      <c r="A137" s="18" t="s">
        <v>113</v>
      </c>
      <c r="B137" s="19"/>
      <c r="C137" s="19"/>
      <c r="D137" s="19"/>
      <c r="E137" s="19">
        <v>6</v>
      </c>
      <c r="F137" s="19">
        <v>3</v>
      </c>
      <c r="G137" s="19">
        <v>0</v>
      </c>
      <c r="H137" s="19"/>
      <c r="I137" s="19"/>
      <c r="J137" s="19"/>
      <c r="K137" s="19">
        <v>1</v>
      </c>
      <c r="L137" s="19">
        <v>0</v>
      </c>
      <c r="M137" s="19">
        <v>1</v>
      </c>
      <c r="N137" s="19">
        <v>20</v>
      </c>
      <c r="O137" s="19">
        <v>11</v>
      </c>
      <c r="P137" s="19">
        <v>6</v>
      </c>
      <c r="Q137" s="19">
        <v>3</v>
      </c>
      <c r="R137" s="19">
        <v>1</v>
      </c>
      <c r="S137" s="19">
        <v>0</v>
      </c>
      <c r="T137" s="19">
        <v>30</v>
      </c>
      <c r="U137" s="19">
        <v>15</v>
      </c>
      <c r="V137" s="19">
        <v>7</v>
      </c>
    </row>
    <row r="138" spans="1:22" x14ac:dyDescent="0.25">
      <c r="A138" s="181" t="s">
        <v>148</v>
      </c>
      <c r="B138" s="19"/>
      <c r="C138" s="19"/>
      <c r="D138" s="19"/>
      <c r="E138" s="19"/>
      <c r="F138" s="19"/>
      <c r="G138" s="19"/>
      <c r="H138" s="19"/>
      <c r="I138" s="19"/>
      <c r="J138" s="19"/>
      <c r="K138" s="19">
        <v>10</v>
      </c>
      <c r="L138" s="19">
        <v>0</v>
      </c>
      <c r="M138" s="19">
        <v>10</v>
      </c>
      <c r="N138" s="19">
        <v>102</v>
      </c>
      <c r="O138" s="19">
        <v>22</v>
      </c>
      <c r="P138" s="19">
        <v>80</v>
      </c>
      <c r="Q138" s="19">
        <v>3</v>
      </c>
      <c r="R138" s="19">
        <v>3</v>
      </c>
      <c r="S138" s="19">
        <v>0</v>
      </c>
      <c r="T138" s="19">
        <v>115</v>
      </c>
      <c r="U138" s="19">
        <v>25</v>
      </c>
      <c r="V138" s="19">
        <v>90</v>
      </c>
    </row>
    <row r="139" spans="1:22" x14ac:dyDescent="0.25">
      <c r="A139" s="18" t="s">
        <v>106</v>
      </c>
      <c r="B139" s="19"/>
      <c r="C139" s="19"/>
      <c r="D139" s="19"/>
      <c r="E139" s="19"/>
      <c r="F139" s="19"/>
      <c r="G139" s="19"/>
      <c r="H139" s="19"/>
      <c r="I139" s="19"/>
      <c r="J139" s="19"/>
      <c r="K139" s="19">
        <v>2</v>
      </c>
      <c r="L139" s="19">
        <v>0</v>
      </c>
      <c r="M139" s="19">
        <v>2</v>
      </c>
      <c r="N139" s="19">
        <v>36</v>
      </c>
      <c r="O139" s="19">
        <v>11</v>
      </c>
      <c r="P139" s="19">
        <v>25</v>
      </c>
      <c r="Q139" s="19">
        <v>2</v>
      </c>
      <c r="R139" s="19">
        <v>2</v>
      </c>
      <c r="S139" s="19">
        <v>0</v>
      </c>
      <c r="T139" s="19">
        <v>40</v>
      </c>
      <c r="U139" s="19">
        <v>13</v>
      </c>
      <c r="V139" s="19">
        <v>27</v>
      </c>
    </row>
    <row r="140" spans="1:22" x14ac:dyDescent="0.25">
      <c r="A140" s="18" t="s">
        <v>150</v>
      </c>
      <c r="B140" s="19"/>
      <c r="C140" s="19"/>
      <c r="D140" s="19"/>
      <c r="E140" s="19"/>
      <c r="F140" s="19"/>
      <c r="G140" s="19"/>
      <c r="H140" s="19"/>
      <c r="I140" s="19"/>
      <c r="J140" s="19"/>
      <c r="K140" s="19">
        <v>1</v>
      </c>
      <c r="L140" s="19">
        <v>0</v>
      </c>
      <c r="M140" s="19">
        <v>1</v>
      </c>
      <c r="N140" s="19">
        <v>5</v>
      </c>
      <c r="O140" s="19">
        <v>2</v>
      </c>
      <c r="P140" s="19">
        <v>3</v>
      </c>
      <c r="Q140" s="19"/>
      <c r="R140" s="19"/>
      <c r="S140" s="19"/>
      <c r="T140" s="19">
        <v>6</v>
      </c>
      <c r="U140" s="19">
        <v>2</v>
      </c>
      <c r="V140" s="19">
        <v>4</v>
      </c>
    </row>
    <row r="141" spans="1:22" x14ac:dyDescent="0.25">
      <c r="A141" s="18" t="s">
        <v>113</v>
      </c>
      <c r="B141" s="19"/>
      <c r="C141" s="19"/>
      <c r="D141" s="19"/>
      <c r="E141" s="19"/>
      <c r="F141" s="19"/>
      <c r="G141" s="19"/>
      <c r="H141" s="19"/>
      <c r="I141" s="19"/>
      <c r="J141" s="19"/>
      <c r="K141" s="19">
        <v>7</v>
      </c>
      <c r="L141" s="19">
        <v>0</v>
      </c>
      <c r="M141" s="19">
        <v>7</v>
      </c>
      <c r="N141" s="19">
        <v>61</v>
      </c>
      <c r="O141" s="19">
        <v>9</v>
      </c>
      <c r="P141" s="19">
        <v>52</v>
      </c>
      <c r="Q141" s="19">
        <v>1</v>
      </c>
      <c r="R141" s="19">
        <v>1</v>
      </c>
      <c r="S141" s="19">
        <v>0</v>
      </c>
      <c r="T141" s="19">
        <v>69</v>
      </c>
      <c r="U141" s="19">
        <v>10</v>
      </c>
      <c r="V141" s="19">
        <v>59</v>
      </c>
    </row>
    <row r="142" spans="1:22" x14ac:dyDescent="0.25">
      <c r="A142" s="181" t="s">
        <v>139</v>
      </c>
      <c r="B142" s="19">
        <v>1</v>
      </c>
      <c r="C142" s="19">
        <v>1</v>
      </c>
      <c r="D142" s="19">
        <v>0</v>
      </c>
      <c r="E142" s="19">
        <v>8</v>
      </c>
      <c r="F142" s="19">
        <v>6</v>
      </c>
      <c r="G142" s="19">
        <v>1</v>
      </c>
      <c r="H142" s="19"/>
      <c r="I142" s="19"/>
      <c r="J142" s="19"/>
      <c r="K142" s="19">
        <v>10</v>
      </c>
      <c r="L142" s="19">
        <v>2</v>
      </c>
      <c r="M142" s="19">
        <v>0</v>
      </c>
      <c r="N142" s="19">
        <v>41</v>
      </c>
      <c r="O142" s="19">
        <v>17</v>
      </c>
      <c r="P142" s="19">
        <v>5</v>
      </c>
      <c r="Q142" s="19">
        <v>1</v>
      </c>
      <c r="R142" s="19">
        <v>1</v>
      </c>
      <c r="S142" s="19">
        <v>0</v>
      </c>
      <c r="T142" s="19">
        <v>61</v>
      </c>
      <c r="U142" s="19">
        <v>27</v>
      </c>
      <c r="V142" s="19">
        <v>6</v>
      </c>
    </row>
    <row r="143" spans="1:22" x14ac:dyDescent="0.25">
      <c r="A143" s="18" t="s">
        <v>106</v>
      </c>
      <c r="B143" s="19">
        <v>1</v>
      </c>
      <c r="C143" s="19">
        <v>1</v>
      </c>
      <c r="D143" s="19">
        <v>0</v>
      </c>
      <c r="E143" s="19">
        <v>1</v>
      </c>
      <c r="F143" s="19">
        <v>1</v>
      </c>
      <c r="G143" s="19">
        <v>0</v>
      </c>
      <c r="H143" s="19"/>
      <c r="I143" s="19"/>
      <c r="J143" s="19"/>
      <c r="K143" s="19">
        <v>10</v>
      </c>
      <c r="L143" s="19">
        <v>2</v>
      </c>
      <c r="M143" s="19">
        <v>0</v>
      </c>
      <c r="N143" s="19">
        <v>19</v>
      </c>
      <c r="O143" s="19">
        <v>5</v>
      </c>
      <c r="P143" s="19">
        <v>5</v>
      </c>
      <c r="Q143" s="19">
        <v>1</v>
      </c>
      <c r="R143" s="19">
        <v>1</v>
      </c>
      <c r="S143" s="19">
        <v>0</v>
      </c>
      <c r="T143" s="19">
        <v>32</v>
      </c>
      <c r="U143" s="19">
        <v>10</v>
      </c>
      <c r="V143" s="19">
        <v>5</v>
      </c>
    </row>
    <row r="144" spans="1:22" x14ac:dyDescent="0.25">
      <c r="A144" s="18" t="s">
        <v>150</v>
      </c>
      <c r="B144" s="19"/>
      <c r="C144" s="19"/>
      <c r="D144" s="19"/>
      <c r="E144" s="19">
        <v>2</v>
      </c>
      <c r="F144" s="19">
        <v>1</v>
      </c>
      <c r="G144" s="19">
        <v>1</v>
      </c>
      <c r="H144" s="19"/>
      <c r="I144" s="19"/>
      <c r="J144" s="19"/>
      <c r="K144" s="19"/>
      <c r="L144" s="19"/>
      <c r="M144" s="19"/>
      <c r="N144" s="19">
        <v>9</v>
      </c>
      <c r="O144" s="19">
        <v>5</v>
      </c>
      <c r="P144" s="19">
        <v>0</v>
      </c>
      <c r="Q144" s="19"/>
      <c r="R144" s="19"/>
      <c r="S144" s="19"/>
      <c r="T144" s="19">
        <v>11</v>
      </c>
      <c r="U144" s="19">
        <v>6</v>
      </c>
      <c r="V144" s="19">
        <v>1</v>
      </c>
    </row>
    <row r="145" spans="1:22" x14ac:dyDescent="0.25">
      <c r="A145" s="18" t="s">
        <v>113</v>
      </c>
      <c r="B145" s="19"/>
      <c r="C145" s="19"/>
      <c r="D145" s="19"/>
      <c r="E145" s="19">
        <v>5</v>
      </c>
      <c r="F145" s="19">
        <v>4</v>
      </c>
      <c r="G145" s="19">
        <v>0</v>
      </c>
      <c r="H145" s="19"/>
      <c r="I145" s="19"/>
      <c r="J145" s="19"/>
      <c r="K145" s="19"/>
      <c r="L145" s="19"/>
      <c r="M145" s="19"/>
      <c r="N145" s="19">
        <v>13</v>
      </c>
      <c r="O145" s="19">
        <v>7</v>
      </c>
      <c r="P145" s="19">
        <v>0</v>
      </c>
      <c r="Q145" s="19"/>
      <c r="R145" s="19"/>
      <c r="S145" s="19"/>
      <c r="T145" s="19">
        <v>18</v>
      </c>
      <c r="U145" s="19">
        <v>11</v>
      </c>
      <c r="V145" s="19">
        <v>0</v>
      </c>
    </row>
    <row r="146" spans="1:22" x14ac:dyDescent="0.25">
      <c r="A146" s="182" t="s">
        <v>151</v>
      </c>
      <c r="B146" s="19">
        <v>101</v>
      </c>
      <c r="C146" s="19">
        <v>85</v>
      </c>
      <c r="D146" s="19">
        <v>15</v>
      </c>
      <c r="E146" s="19">
        <v>340</v>
      </c>
      <c r="F146" s="19">
        <v>256</v>
      </c>
      <c r="G146" s="19">
        <v>38</v>
      </c>
      <c r="H146" s="19">
        <v>5</v>
      </c>
      <c r="I146" s="19">
        <v>4</v>
      </c>
      <c r="J146" s="19">
        <v>0</v>
      </c>
      <c r="K146" s="19">
        <v>179</v>
      </c>
      <c r="L146" s="19">
        <v>55</v>
      </c>
      <c r="M146" s="19">
        <v>34</v>
      </c>
      <c r="N146" s="19">
        <v>2849</v>
      </c>
      <c r="O146" s="19">
        <v>1658</v>
      </c>
      <c r="P146" s="19">
        <v>794</v>
      </c>
      <c r="Q146" s="19">
        <v>712</v>
      </c>
      <c r="R146" s="19">
        <v>657</v>
      </c>
      <c r="S146" s="19">
        <v>36</v>
      </c>
      <c r="T146" s="19">
        <v>4186</v>
      </c>
      <c r="U146" s="19">
        <v>2715</v>
      </c>
      <c r="V146" s="19">
        <v>917</v>
      </c>
    </row>
    <row r="149" spans="1:22" ht="46.5" customHeight="1" x14ac:dyDescent="0.25">
      <c r="A149" s="248" t="s">
        <v>405</v>
      </c>
      <c r="B149" s="248"/>
      <c r="C149" s="248"/>
      <c r="D149" s="248"/>
      <c r="E149" s="248"/>
      <c r="F149" s="248"/>
      <c r="G149" s="248"/>
    </row>
    <row r="150" spans="1:22" x14ac:dyDescent="0.25">
      <c r="A150" s="81" t="s">
        <v>212</v>
      </c>
      <c r="B150" s="81" t="s">
        <v>399</v>
      </c>
      <c r="C150" s="81" t="s">
        <v>400</v>
      </c>
      <c r="D150" s="3"/>
    </row>
    <row r="151" spans="1:22" x14ac:dyDescent="0.25">
      <c r="A151" s="19" t="s">
        <v>401</v>
      </c>
      <c r="B151" s="19">
        <f>G112+J112+M112+P112+S112</f>
        <v>70</v>
      </c>
      <c r="C151" s="19">
        <f>F112+I112+L112+O112+R112</f>
        <v>260</v>
      </c>
      <c r="D151" s="3"/>
    </row>
    <row r="152" spans="1:22" x14ac:dyDescent="0.25">
      <c r="A152" s="19" t="s">
        <v>402</v>
      </c>
      <c r="B152" s="19">
        <f>G113+J113+M113+P113+S113</f>
        <v>9</v>
      </c>
      <c r="C152" s="19">
        <f>F113+I113+L113+O113+R113</f>
        <v>54</v>
      </c>
      <c r="D152" s="174"/>
    </row>
    <row r="153" spans="1:22" x14ac:dyDescent="0.25">
      <c r="A153" s="19" t="s">
        <v>403</v>
      </c>
      <c r="B153" s="19">
        <f>G114+J114+M114+P114+S114</f>
        <v>34</v>
      </c>
      <c r="C153" s="19">
        <f>F114+I114+L114+O114+R114</f>
        <v>130</v>
      </c>
      <c r="D153" s="174"/>
    </row>
    <row r="154" spans="1:22" x14ac:dyDescent="0.25">
      <c r="A154" s="19" t="s">
        <v>406</v>
      </c>
      <c r="B154" s="172">
        <f>(B151+B152*B151/(B151+B153))/B156</f>
        <v>8.3214105369466412E-2</v>
      </c>
      <c r="C154" s="172">
        <f>(C151+C152*C151/(C151+C153))/C156</f>
        <v>0.32385120350109409</v>
      </c>
      <c r="D154" s="3"/>
    </row>
    <row r="155" spans="1:22" x14ac:dyDescent="0.25">
      <c r="A155" s="19" t="s">
        <v>407</v>
      </c>
      <c r="B155" s="172">
        <f>(B153+B153*B152/(B151+B153))/B156</f>
        <v>4.041827975088369E-2</v>
      </c>
      <c r="C155" s="172">
        <f>(C153+C153*C152/(C151+C153))/C156</f>
        <v>0.16192560175054704</v>
      </c>
      <c r="D155" s="3"/>
    </row>
    <row r="156" spans="1:22" x14ac:dyDescent="0.25">
      <c r="A156" s="19" t="s">
        <v>404</v>
      </c>
      <c r="B156" s="19">
        <f>E111+H111+K111+N111+Q111</f>
        <v>914</v>
      </c>
      <c r="C156" s="19">
        <f>B156</f>
        <v>914</v>
      </c>
      <c r="D156" s="3"/>
    </row>
    <row r="157" spans="1:22" x14ac:dyDescent="0.25">
      <c r="B157" s="173"/>
      <c r="C157" s="3"/>
      <c r="D157" s="174"/>
    </row>
    <row r="158" spans="1:22" x14ac:dyDescent="0.25">
      <c r="B158" s="213"/>
      <c r="C158" s="213"/>
      <c r="D158" s="3"/>
    </row>
  </sheetData>
  <sheetProtection algorithmName="SHA-512" hashValue="us7vcP5lreI5CYX/kkn0XNogsnC6EnwVAcfxP5+3QNDWdNFy5O0pEwzV3KX2nkxEQ+nhUkncFrSKv1veP4ARkQ==" saltValue="zBt7gVjsMjqkiDI1GCKQ6g==" spinCount="100000" sheet="1" objects="1" scenarios="1"/>
  <mergeCells count="7">
    <mergeCell ref="N103:P103"/>
    <mergeCell ref="Q103:S103"/>
    <mergeCell ref="A149:G149"/>
    <mergeCell ref="B103:D103"/>
    <mergeCell ref="E103:G103"/>
    <mergeCell ref="H103:J103"/>
    <mergeCell ref="K103:M10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16BB-0D95-4D81-AB79-78C24328D497}">
  <dimension ref="A1:T161"/>
  <sheetViews>
    <sheetView zoomScaleNormal="100" workbookViewId="0">
      <pane xSplit="1" ySplit="1" topLeftCell="B32" activePane="bottomRight" state="frozen"/>
      <selection pane="topRight" activeCell="B1" sqref="B1"/>
      <selection pane="bottomLeft" activeCell="A2" sqref="A2"/>
      <selection pane="bottomRight" activeCell="E38" sqref="E38"/>
    </sheetView>
  </sheetViews>
  <sheetFormatPr defaultRowHeight="15" x14ac:dyDescent="0.25"/>
  <cols>
    <col min="1" max="1" width="33.28515625" style="73" customWidth="1"/>
    <col min="2" max="2" width="22.85546875" style="73" customWidth="1"/>
    <col min="3" max="3" width="21.7109375" style="73" customWidth="1"/>
    <col min="4" max="4" width="22.7109375" style="73" customWidth="1"/>
    <col min="5" max="5" width="19.5703125" style="73" customWidth="1"/>
    <col min="6" max="6" width="22" style="73" customWidth="1"/>
    <col min="7" max="7" width="28.42578125" style="73" customWidth="1"/>
    <col min="8" max="8" width="25.140625" style="73" customWidth="1"/>
    <col min="9" max="9" width="20.7109375" style="73" customWidth="1"/>
    <col min="10" max="10" width="20.28515625" style="73" customWidth="1"/>
    <col min="11" max="12" width="24.42578125" style="73" customWidth="1"/>
    <col min="13" max="13" width="19.28515625" style="73" customWidth="1"/>
    <col min="14" max="14" width="18.42578125" style="73" customWidth="1"/>
    <col min="15" max="15" width="9.140625" style="73"/>
    <col min="16" max="16" width="11.28515625" style="73" customWidth="1"/>
    <col min="17" max="16384" width="9.140625" style="73"/>
  </cols>
  <sheetData>
    <row r="1" spans="1:10" x14ac:dyDescent="0.25">
      <c r="A1" s="188" t="s">
        <v>352</v>
      </c>
    </row>
    <row r="3" spans="1:10" x14ac:dyDescent="0.25">
      <c r="A3" s="84" t="s">
        <v>0</v>
      </c>
      <c r="B3" s="72"/>
      <c r="C3" s="72"/>
      <c r="D3" s="72"/>
      <c r="E3" s="72"/>
    </row>
    <row r="4" spans="1:10" x14ac:dyDescent="0.25">
      <c r="A4" s="183" t="s">
        <v>2</v>
      </c>
      <c r="B4" s="72"/>
      <c r="C4" s="72"/>
      <c r="D4" s="72"/>
      <c r="E4" s="72"/>
    </row>
    <row r="5" spans="1:10" x14ac:dyDescent="0.25">
      <c r="A5" s="183" t="s">
        <v>3</v>
      </c>
      <c r="B5" s="72"/>
      <c r="C5" s="72"/>
      <c r="D5" s="72"/>
      <c r="E5" s="72"/>
    </row>
    <row r="6" spans="1:10" x14ac:dyDescent="0.25">
      <c r="A6" s="72"/>
      <c r="B6" s="72"/>
      <c r="C6" s="72"/>
      <c r="D6" s="72"/>
      <c r="E6" s="72"/>
    </row>
    <row r="7" spans="1:10" ht="30" customHeight="1" x14ac:dyDescent="0.25">
      <c r="A7" s="79" t="s">
        <v>4</v>
      </c>
      <c r="B7" s="139" t="s">
        <v>1</v>
      </c>
      <c r="C7" s="139" t="s">
        <v>5</v>
      </c>
      <c r="D7" s="139" t="s">
        <v>274</v>
      </c>
      <c r="E7" s="139" t="s">
        <v>276</v>
      </c>
      <c r="F7" s="139" t="s">
        <v>6</v>
      </c>
      <c r="G7" s="139" t="s">
        <v>272</v>
      </c>
      <c r="H7" s="139" t="s">
        <v>275</v>
      </c>
      <c r="I7" s="139" t="s">
        <v>283</v>
      </c>
      <c r="J7" s="73" t="s">
        <v>96</v>
      </c>
    </row>
    <row r="8" spans="1:10" x14ac:dyDescent="0.25">
      <c r="A8" s="184">
        <f>9877*0.95</f>
        <v>9383.15</v>
      </c>
      <c r="B8" s="184">
        <v>14921</v>
      </c>
      <c r="C8" s="185">
        <f>B8/A8</f>
        <v>1.5901909273538204</v>
      </c>
      <c r="D8" s="74">
        <f>1033</f>
        <v>1033</v>
      </c>
      <c r="E8" s="74">
        <v>387</v>
      </c>
      <c r="F8" s="74">
        <v>16</v>
      </c>
      <c r="G8" s="74">
        <f>1268*0.5</f>
        <v>634</v>
      </c>
      <c r="H8" s="74">
        <f>D8*607.5/567.3</f>
        <v>1106.200423056584</v>
      </c>
      <c r="I8" s="176">
        <f>(H8*0.0325)/(1-(1+0.0325)^-5)</f>
        <v>243.2707246777189</v>
      </c>
      <c r="J8" s="73" t="s">
        <v>97</v>
      </c>
    </row>
    <row r="9" spans="1:10" x14ac:dyDescent="0.25">
      <c r="A9" s="73" t="s">
        <v>271</v>
      </c>
    </row>
    <row r="10" spans="1:10" x14ac:dyDescent="0.25">
      <c r="A10" s="73" t="s">
        <v>273</v>
      </c>
    </row>
    <row r="13" spans="1:10" x14ac:dyDescent="0.25">
      <c r="A13" s="188" t="s">
        <v>39</v>
      </c>
    </row>
    <row r="14" spans="1:10" x14ac:dyDescent="0.25">
      <c r="A14" s="73" t="s">
        <v>118</v>
      </c>
    </row>
    <row r="15" spans="1:10" x14ac:dyDescent="0.25">
      <c r="A15" s="87" t="s">
        <v>8</v>
      </c>
    </row>
    <row r="16" spans="1:10" x14ac:dyDescent="0.25">
      <c r="A16" s="186" t="s">
        <v>15</v>
      </c>
    </row>
    <row r="17" spans="1:9" x14ac:dyDescent="0.25">
      <c r="A17" s="249" t="s">
        <v>9</v>
      </c>
      <c r="B17" s="249"/>
      <c r="C17" s="249" t="s">
        <v>10</v>
      </c>
      <c r="D17" s="249"/>
      <c r="E17" s="250" t="s">
        <v>98</v>
      </c>
      <c r="F17" s="250"/>
    </row>
    <row r="18" spans="1:9" x14ac:dyDescent="0.25">
      <c r="A18" s="143" t="s">
        <v>11</v>
      </c>
      <c r="B18" s="143" t="s">
        <v>12</v>
      </c>
      <c r="C18" s="143" t="s">
        <v>11</v>
      </c>
      <c r="D18" s="143" t="s">
        <v>13</v>
      </c>
      <c r="E18" s="143" t="s">
        <v>11</v>
      </c>
      <c r="F18" s="143" t="s">
        <v>13</v>
      </c>
    </row>
    <row r="19" spans="1:9" x14ac:dyDescent="0.25">
      <c r="A19" s="142">
        <v>3.0129999999999999</v>
      </c>
      <c r="B19" s="142">
        <v>8.3000000000000004E-2</v>
      </c>
      <c r="C19" s="142">
        <v>0.22700000000000001</v>
      </c>
      <c r="D19" s="142">
        <v>6.28E-3</v>
      </c>
      <c r="E19" s="140">
        <f>A19-C19</f>
        <v>2.786</v>
      </c>
      <c r="F19" s="140">
        <f>B19-D19</f>
        <v>7.672000000000001E-2</v>
      </c>
    </row>
    <row r="20" spans="1:9" x14ac:dyDescent="0.25">
      <c r="A20" s="87" t="s">
        <v>14</v>
      </c>
    </row>
    <row r="21" spans="1:9" x14ac:dyDescent="0.25">
      <c r="A21" s="186" t="s">
        <v>16</v>
      </c>
    </row>
    <row r="22" spans="1:9" x14ac:dyDescent="0.25">
      <c r="A22" s="143" t="s">
        <v>53</v>
      </c>
      <c r="B22" s="143" t="s">
        <v>54</v>
      </c>
      <c r="C22" s="186"/>
    </row>
    <row r="23" spans="1:9" x14ac:dyDescent="0.25">
      <c r="A23" s="142">
        <v>2.79</v>
      </c>
      <c r="B23" s="142">
        <v>7.6999999999999999E-2</v>
      </c>
    </row>
    <row r="24" spans="1:9" x14ac:dyDescent="0.25">
      <c r="A24" s="73" t="s">
        <v>17</v>
      </c>
    </row>
    <row r="25" spans="1:9" x14ac:dyDescent="0.25">
      <c r="A25" s="186" t="s">
        <v>286</v>
      </c>
    </row>
    <row r="26" spans="1:9" ht="29.25" customHeight="1" x14ac:dyDescent="0.25">
      <c r="A26" s="143" t="s">
        <v>18</v>
      </c>
      <c r="B26" s="143" t="s">
        <v>19</v>
      </c>
      <c r="C26" s="143" t="s">
        <v>20</v>
      </c>
      <c r="D26" s="143" t="s">
        <v>279</v>
      </c>
      <c r="E26" s="143" t="s">
        <v>278</v>
      </c>
      <c r="F26" s="77" t="s">
        <v>21</v>
      </c>
      <c r="H26" s="139" t="s">
        <v>283</v>
      </c>
      <c r="I26" s="73" t="s">
        <v>96</v>
      </c>
    </row>
    <row r="27" spans="1:9" x14ac:dyDescent="0.25">
      <c r="A27" s="142" t="s">
        <v>22</v>
      </c>
      <c r="B27" s="187">
        <v>387</v>
      </c>
      <c r="C27" s="187">
        <v>7398</v>
      </c>
      <c r="D27" s="187">
        <f>2471</f>
        <v>2471</v>
      </c>
      <c r="E27" s="187">
        <f>D27*607.5/584.6</f>
        <v>2567.7942182689017</v>
      </c>
      <c r="F27" s="187">
        <v>227</v>
      </c>
      <c r="H27" s="176">
        <f>(E27*0.0325)/(1-(1+0.0325)^-5)</f>
        <v>564.6979943973314</v>
      </c>
      <c r="I27" s="73" t="s">
        <v>97</v>
      </c>
    </row>
    <row r="28" spans="1:9" x14ac:dyDescent="0.25">
      <c r="A28" s="142" t="s">
        <v>23</v>
      </c>
      <c r="B28" s="187">
        <v>554</v>
      </c>
      <c r="C28" s="187">
        <v>9356</v>
      </c>
      <c r="D28" s="187">
        <f>2698</f>
        <v>2698</v>
      </c>
      <c r="E28" s="187">
        <f>D28*607.5/584.6</f>
        <v>2803.6862812179265</v>
      </c>
      <c r="F28" s="140"/>
      <c r="H28" s="176">
        <f>(E28*0.0325)/(1-(1+0.0325)^-5)</f>
        <v>616.57433787292587</v>
      </c>
    </row>
    <row r="29" spans="1:9" x14ac:dyDescent="0.25">
      <c r="A29" s="73" t="s">
        <v>24</v>
      </c>
    </row>
    <row r="30" spans="1:9" x14ac:dyDescent="0.25">
      <c r="A30" s="73" t="s">
        <v>280</v>
      </c>
    </row>
    <row r="31" spans="1:9" x14ac:dyDescent="0.25">
      <c r="A31" s="73" t="s">
        <v>45</v>
      </c>
    </row>
    <row r="32" spans="1:9" x14ac:dyDescent="0.25">
      <c r="A32" s="73" t="s">
        <v>46</v>
      </c>
    </row>
    <row r="34" spans="1:8" x14ac:dyDescent="0.25">
      <c r="A34" s="188" t="s">
        <v>396</v>
      </c>
    </row>
    <row r="35" spans="1:8" x14ac:dyDescent="0.25">
      <c r="A35" s="188" t="s">
        <v>287</v>
      </c>
    </row>
    <row r="36" spans="1:8" ht="29.25" customHeight="1" x14ac:dyDescent="0.25">
      <c r="A36" s="251" t="s">
        <v>48</v>
      </c>
      <c r="B36" s="252"/>
      <c r="C36" s="79" t="s">
        <v>49</v>
      </c>
      <c r="D36" s="139" t="s">
        <v>408</v>
      </c>
      <c r="E36" s="215" t="s">
        <v>409</v>
      </c>
      <c r="F36" s="180"/>
      <c r="G36" s="216"/>
      <c r="H36" s="216"/>
    </row>
    <row r="37" spans="1:8" x14ac:dyDescent="0.25">
      <c r="A37" s="75" t="s">
        <v>50</v>
      </c>
      <c r="B37" s="75"/>
      <c r="C37" s="140">
        <v>1.37</v>
      </c>
      <c r="D37" s="219">
        <f>C37*K$73</f>
        <v>1.2355442114412332E-2</v>
      </c>
      <c r="E37" s="219">
        <f t="shared" ref="E37:E39" si="0">D37*8760/2000</f>
        <v>5.4116836461126014E-2</v>
      </c>
      <c r="F37" s="180"/>
      <c r="G37" s="76"/>
      <c r="H37" s="76"/>
    </row>
    <row r="38" spans="1:8" x14ac:dyDescent="0.25">
      <c r="A38" s="75" t="s">
        <v>52</v>
      </c>
      <c r="B38" s="75"/>
      <c r="C38" s="140">
        <v>2.39</v>
      </c>
      <c r="D38" s="219">
        <f>C38*K$73</f>
        <v>2.1554384418573339E-2</v>
      </c>
      <c r="E38" s="219">
        <f>D38*8760/2000</f>
        <v>9.4408203753351211E-2</v>
      </c>
      <c r="F38" s="180"/>
      <c r="G38" s="76"/>
      <c r="H38" s="76"/>
    </row>
    <row r="39" spans="1:8" x14ac:dyDescent="0.25">
      <c r="A39" s="75" t="s">
        <v>51</v>
      </c>
      <c r="B39" s="75"/>
      <c r="C39" s="140">
        <v>18.2</v>
      </c>
      <c r="D39" s="219">
        <f>C39*K$73</f>
        <v>0.1641379901330689</v>
      </c>
      <c r="E39" s="219">
        <f t="shared" si="0"/>
        <v>0.71892439678284181</v>
      </c>
      <c r="F39" s="218"/>
      <c r="G39" s="217"/>
      <c r="H39" s="217"/>
    </row>
    <row r="40" spans="1:8" x14ac:dyDescent="0.25">
      <c r="A40" s="73" t="s">
        <v>47</v>
      </c>
      <c r="F40" s="76"/>
      <c r="G40" s="76"/>
      <c r="H40" s="76"/>
    </row>
    <row r="42" spans="1:8" x14ac:dyDescent="0.25">
      <c r="A42" s="188" t="s">
        <v>39</v>
      </c>
    </row>
    <row r="43" spans="1:8" x14ac:dyDescent="0.25">
      <c r="A43" s="73" t="s">
        <v>118</v>
      </c>
    </row>
    <row r="44" spans="1:8" x14ac:dyDescent="0.25">
      <c r="A44" s="188" t="s">
        <v>72</v>
      </c>
      <c r="B44" s="188"/>
      <c r="C44" s="188"/>
    </row>
    <row r="45" spans="1:8" ht="30" x14ac:dyDescent="0.25">
      <c r="A45" s="81" t="s">
        <v>73</v>
      </c>
      <c r="B45" s="81"/>
      <c r="C45" s="139" t="s">
        <v>281</v>
      </c>
      <c r="D45" s="139" t="s">
        <v>282</v>
      </c>
      <c r="E45" s="139" t="s">
        <v>283</v>
      </c>
      <c r="F45" s="188" t="s">
        <v>74</v>
      </c>
    </row>
    <row r="46" spans="1:8" x14ac:dyDescent="0.25">
      <c r="A46" s="75" t="s">
        <v>75</v>
      </c>
      <c r="B46" s="75"/>
      <c r="C46" s="74">
        <f>2300</f>
        <v>2300</v>
      </c>
      <c r="D46" s="74">
        <f>C46*607.5/584.6</f>
        <v>2390.0957919945263</v>
      </c>
      <c r="E46" s="176">
        <f>(D46*0.0325)/(1-(1+0.0325)^-5)</f>
        <v>525.61933918003331</v>
      </c>
      <c r="F46" s="73" t="s">
        <v>81</v>
      </c>
    </row>
    <row r="47" spans="1:8" x14ac:dyDescent="0.25">
      <c r="A47" s="75" t="s">
        <v>76</v>
      </c>
      <c r="B47" s="75"/>
      <c r="C47" s="74">
        <f>((1807+5352)/2)</f>
        <v>3579.5</v>
      </c>
      <c r="D47" s="74">
        <f t="shared" ref="D47:D51" si="1">C47*607.5/584.6</f>
        <v>3719.7164728019156</v>
      </c>
      <c r="E47" s="176">
        <f t="shared" ref="E47:E51" si="2">(D47*0.0325)/(1-(1+0.0325)^-5)</f>
        <v>818.02366286736037</v>
      </c>
      <c r="F47" s="183" t="s">
        <v>82</v>
      </c>
    </row>
    <row r="48" spans="1:8" x14ac:dyDescent="0.25">
      <c r="A48" s="75" t="s">
        <v>77</v>
      </c>
      <c r="B48" s="75"/>
      <c r="C48" s="74"/>
      <c r="D48" s="74"/>
      <c r="E48" s="176"/>
      <c r="F48" s="183" t="s">
        <v>285</v>
      </c>
    </row>
    <row r="49" spans="1:14" x14ac:dyDescent="0.25">
      <c r="A49" s="75" t="s">
        <v>78</v>
      </c>
      <c r="B49" s="75"/>
      <c r="C49" s="74">
        <f>5433</f>
        <v>5433</v>
      </c>
      <c r="D49" s="74">
        <f t="shared" si="1"/>
        <v>5645.8219295244608</v>
      </c>
      <c r="E49" s="176">
        <f t="shared" si="2"/>
        <v>1241.6042912022262</v>
      </c>
      <c r="F49" s="73" t="s">
        <v>83</v>
      </c>
    </row>
    <row r="50" spans="1:14" x14ac:dyDescent="0.25">
      <c r="A50" s="75" t="s">
        <v>79</v>
      </c>
      <c r="B50" s="75"/>
      <c r="C50" s="74"/>
      <c r="D50" s="74"/>
      <c r="E50" s="176"/>
      <c r="F50" s="73" t="s">
        <v>84</v>
      </c>
    </row>
    <row r="51" spans="1:14" x14ac:dyDescent="0.25">
      <c r="A51" s="75" t="s">
        <v>80</v>
      </c>
      <c r="B51" s="75"/>
      <c r="C51" s="74">
        <f>5433</f>
        <v>5433</v>
      </c>
      <c r="D51" s="74">
        <f t="shared" si="1"/>
        <v>5645.8219295244608</v>
      </c>
      <c r="E51" s="176">
        <f t="shared" si="2"/>
        <v>1241.6042912022262</v>
      </c>
      <c r="F51" s="73" t="s">
        <v>83</v>
      </c>
    </row>
    <row r="52" spans="1:14" x14ac:dyDescent="0.25">
      <c r="A52" s="73" t="s">
        <v>280</v>
      </c>
    </row>
    <row r="53" spans="1:14" x14ac:dyDescent="0.25">
      <c r="A53" s="73" t="s">
        <v>284</v>
      </c>
    </row>
    <row r="56" spans="1:14" x14ac:dyDescent="0.25">
      <c r="A56" s="76" t="s">
        <v>397</v>
      </c>
    </row>
    <row r="57" spans="1:14" x14ac:dyDescent="0.25">
      <c r="A57" s="76" t="s">
        <v>63</v>
      </c>
    </row>
    <row r="58" spans="1:14" s="72" customFormat="1" ht="40.5" customHeight="1" x14ac:dyDescent="0.25">
      <c r="A58" s="79" t="s">
        <v>55</v>
      </c>
      <c r="B58" s="139" t="s">
        <v>56</v>
      </c>
      <c r="C58" s="139" t="s">
        <v>58</v>
      </c>
      <c r="D58" s="139" t="s">
        <v>88</v>
      </c>
      <c r="E58" s="139" t="s">
        <v>87</v>
      </c>
      <c r="F58" s="139" t="s">
        <v>290</v>
      </c>
      <c r="G58" s="139" t="s">
        <v>289</v>
      </c>
      <c r="H58" s="139" t="s">
        <v>61</v>
      </c>
      <c r="I58" s="139" t="s">
        <v>64</v>
      </c>
      <c r="J58" s="139" t="s">
        <v>65</v>
      </c>
      <c r="K58" s="139" t="s">
        <v>57</v>
      </c>
      <c r="L58" s="139" t="s">
        <v>217</v>
      </c>
      <c r="M58" s="139" t="s">
        <v>101</v>
      </c>
      <c r="N58" s="139" t="s">
        <v>353</v>
      </c>
    </row>
    <row r="59" spans="1:14" s="72" customFormat="1" ht="34.5" customHeight="1" x14ac:dyDescent="0.25">
      <c r="A59" s="189" t="s">
        <v>59</v>
      </c>
      <c r="B59" s="190">
        <f>C$39*10*8760/1000</f>
        <v>1594.32</v>
      </c>
      <c r="C59" s="71">
        <f>10*C39</f>
        <v>182</v>
      </c>
      <c r="D59" s="191">
        <f>10/0.83</f>
        <v>12.048192771084338</v>
      </c>
      <c r="E59" s="191">
        <f>D59*10/30</f>
        <v>4.0160642570281126</v>
      </c>
      <c r="F59" s="83">
        <f>(3275*2+1964+655*2)*1.5*(E59/10)</f>
        <v>5918.0722891566265</v>
      </c>
      <c r="G59" s="83">
        <f>F59*607.5/499.6</f>
        <v>7196.2148031678353</v>
      </c>
      <c r="H59" s="83">
        <f>(G59*0.0325)/(1-(1+0.0325)^-10)</f>
        <v>854.41430073411118</v>
      </c>
      <c r="I59" s="83">
        <f>(434+734)*(607.5/499.6)</f>
        <v>1420.2562049639712</v>
      </c>
      <c r="J59" s="83">
        <f>E59*8760*0.5*0.0996/0.75</f>
        <v>2335.9999999999995</v>
      </c>
      <c r="K59" s="83">
        <f>B59*2</f>
        <v>3188.64</v>
      </c>
      <c r="L59" s="83">
        <f>H59+I59+J59</f>
        <v>4610.6705056980818</v>
      </c>
      <c r="M59" s="85">
        <f>(H59+I59+J59)/10</f>
        <v>461.0670505698082</v>
      </c>
      <c r="N59" s="86">
        <f>C59/10*K$73*8760/2000</f>
        <v>0.71892439678284181</v>
      </c>
    </row>
    <row r="60" spans="1:14" s="72" customFormat="1" ht="34.5" customHeight="1" x14ac:dyDescent="0.25">
      <c r="A60" s="189" t="s">
        <v>60</v>
      </c>
      <c r="B60" s="190">
        <f>C$39*40*8760/1000</f>
        <v>6377.28</v>
      </c>
      <c r="C60" s="190">
        <f>40*C39</f>
        <v>728</v>
      </c>
      <c r="D60" s="191">
        <f>40/0.83</f>
        <v>48.192771084337352</v>
      </c>
      <c r="E60" s="191">
        <f>D60*10/30</f>
        <v>16.064257028112451</v>
      </c>
      <c r="F60" s="83">
        <f>(3275*2+1964+655*2)*1.5*(E60/10)</f>
        <v>23672.289156626506</v>
      </c>
      <c r="G60" s="83">
        <f t="shared" ref="G60:G62" si="3">F60*607.5/499.6</f>
        <v>28784.859212671341</v>
      </c>
      <c r="H60" s="83">
        <f t="shared" ref="H60:H62" si="4">(G60*0.0325)/(1-(1+0.0325)^-10)</f>
        <v>3417.6572029364447</v>
      </c>
      <c r="I60" s="83">
        <f t="shared" ref="I60:I62" si="5">(434+734)*(607.5/499.6)</f>
        <v>1420.2562049639712</v>
      </c>
      <c r="J60" s="83">
        <f>E60*8760*0.5*0.0996/0.75</f>
        <v>9343.9999999999982</v>
      </c>
      <c r="K60" s="83">
        <f>B60*2</f>
        <v>12754.56</v>
      </c>
      <c r="L60" s="83">
        <f>H60+I60+J60</f>
        <v>14181.913407900414</v>
      </c>
      <c r="M60" s="85">
        <f>(H60+I60+J60)/40</f>
        <v>354.54783519751038</v>
      </c>
      <c r="N60" s="86">
        <f>C60/40*K$73*8760/2000</f>
        <v>0.71892439678284181</v>
      </c>
    </row>
    <row r="61" spans="1:14" s="72" customFormat="1" ht="46.5" customHeight="1" x14ac:dyDescent="0.25">
      <c r="A61" s="189" t="s">
        <v>86</v>
      </c>
      <c r="B61" s="190">
        <f>C$39*100*8760/1000</f>
        <v>15943.2</v>
      </c>
      <c r="C61" s="190">
        <f>100*C39</f>
        <v>1820</v>
      </c>
      <c r="D61" s="191">
        <f>100/0.83</f>
        <v>120.48192771084338</v>
      </c>
      <c r="E61" s="191">
        <f>D61*10/30</f>
        <v>40.160642570281126</v>
      </c>
      <c r="F61" s="83">
        <f>(3275*2+1964+655*2)*1.5*(E61/10)</f>
        <v>59180.722891566271</v>
      </c>
      <c r="G61" s="83">
        <f t="shared" si="3"/>
        <v>71962.148031678356</v>
      </c>
      <c r="H61" s="83">
        <f t="shared" si="4"/>
        <v>8544.143007341112</v>
      </c>
      <c r="I61" s="83">
        <f t="shared" si="5"/>
        <v>1420.2562049639712</v>
      </c>
      <c r="J61" s="83">
        <f>E61*8760*0.5*0.0996/0.75</f>
        <v>23360</v>
      </c>
      <c r="K61" s="83">
        <f>B61*2</f>
        <v>31886.400000000001</v>
      </c>
      <c r="L61" s="83">
        <f>H61+I61+J61</f>
        <v>33324.399212305085</v>
      </c>
      <c r="M61" s="85">
        <f>(H61+I61+J61)/100</f>
        <v>333.24399212305087</v>
      </c>
      <c r="N61" s="86">
        <f>C61/100*K$73*8760/2000</f>
        <v>0.71892439678284181</v>
      </c>
    </row>
    <row r="62" spans="1:14" s="72" customFormat="1" ht="46.5" customHeight="1" x14ac:dyDescent="0.25">
      <c r="A62" s="189" t="s">
        <v>62</v>
      </c>
      <c r="B62" s="190">
        <v>20000</v>
      </c>
      <c r="C62" s="190">
        <f>B62*1000/8760</f>
        <v>2283.1050228310501</v>
      </c>
      <c r="D62" s="190">
        <v>125</v>
      </c>
      <c r="E62" s="190">
        <v>30</v>
      </c>
      <c r="F62" s="83">
        <f>60000</f>
        <v>60000</v>
      </c>
      <c r="G62" s="83">
        <f t="shared" si="3"/>
        <v>72958.366693354677</v>
      </c>
      <c r="H62" s="83">
        <f t="shared" si="4"/>
        <v>8662.425117377592</v>
      </c>
      <c r="I62" s="83">
        <f t="shared" si="5"/>
        <v>1420.2562049639712</v>
      </c>
      <c r="J62" s="83">
        <f>30*8760*0.5*0.0996/0.75</f>
        <v>17449.919999999998</v>
      </c>
      <c r="K62" s="83">
        <f>2*B62</f>
        <v>40000</v>
      </c>
      <c r="L62" s="83">
        <f>H62+I62+J62</f>
        <v>27532.601322341561</v>
      </c>
    </row>
    <row r="63" spans="1:14" x14ac:dyDescent="0.25">
      <c r="A63" s="73" t="s">
        <v>85</v>
      </c>
    </row>
    <row r="64" spans="1:14" x14ac:dyDescent="0.25">
      <c r="A64" s="192" t="s">
        <v>288</v>
      </c>
    </row>
    <row r="65" spans="1:11" x14ac:dyDescent="0.25">
      <c r="A65" s="192" t="s">
        <v>66</v>
      </c>
    </row>
    <row r="67" spans="1:11" x14ac:dyDescent="0.25">
      <c r="A67" s="188" t="s">
        <v>40</v>
      </c>
    </row>
    <row r="68" spans="1:11" x14ac:dyDescent="0.25">
      <c r="A68" s="73" t="s">
        <v>44</v>
      </c>
    </row>
    <row r="69" spans="1:11" x14ac:dyDescent="0.25">
      <c r="A69" s="73" t="s">
        <v>25</v>
      </c>
    </row>
    <row r="70" spans="1:11" x14ac:dyDescent="0.25">
      <c r="A70" s="186" t="s">
        <v>27</v>
      </c>
    </row>
    <row r="71" spans="1:11" x14ac:dyDescent="0.25">
      <c r="A71" s="193" t="s">
        <v>26</v>
      </c>
      <c r="B71" s="249" t="s">
        <v>291</v>
      </c>
      <c r="C71" s="249"/>
      <c r="D71" s="249" t="s">
        <v>292</v>
      </c>
      <c r="E71" s="249"/>
      <c r="F71" s="81" t="s">
        <v>99</v>
      </c>
      <c r="G71" s="88"/>
      <c r="H71" s="88"/>
      <c r="I71" s="88"/>
      <c r="J71" s="88"/>
    </row>
    <row r="72" spans="1:11" x14ac:dyDescent="0.25">
      <c r="A72" s="193"/>
      <c r="B72" s="143" t="s">
        <v>28</v>
      </c>
      <c r="C72" s="143" t="s">
        <v>13</v>
      </c>
      <c r="D72" s="143" t="s">
        <v>28</v>
      </c>
      <c r="E72" s="143" t="s">
        <v>13</v>
      </c>
      <c r="F72" s="143" t="s">
        <v>13</v>
      </c>
      <c r="G72" s="143" t="s">
        <v>67</v>
      </c>
      <c r="H72" s="143" t="s">
        <v>68</v>
      </c>
      <c r="I72" s="143" t="s">
        <v>116</v>
      </c>
      <c r="J72" s="143" t="s">
        <v>69</v>
      </c>
      <c r="K72" s="143" t="s">
        <v>70</v>
      </c>
    </row>
    <row r="73" spans="1:11" x14ac:dyDescent="0.25">
      <c r="A73" s="194" t="s">
        <v>29</v>
      </c>
      <c r="B73" s="140">
        <v>5.3</v>
      </c>
      <c r="C73" s="140">
        <f>B73*C74</f>
        <v>1.4734</v>
      </c>
      <c r="D73" s="140">
        <v>0.2</v>
      </c>
      <c r="E73" s="140">
        <v>0.06</v>
      </c>
      <c r="F73" s="140">
        <f>C73-E73</f>
        <v>1.4134</v>
      </c>
      <c r="G73" s="90">
        <f>B73+C73</f>
        <v>6.7733999999999996</v>
      </c>
      <c r="H73" s="82">
        <f>G73*2000/8760</f>
        <v>1.5464383561643835</v>
      </c>
      <c r="I73" s="80">
        <f>H73/37.3</f>
        <v>4.1459473355613501E-2</v>
      </c>
      <c r="J73" s="91">
        <f>I73*1/1.278</f>
        <v>3.2440902469181139E-2</v>
      </c>
      <c r="K73" s="75">
        <f>I73*0.278/1.278</f>
        <v>9.0185708864323581E-3</v>
      </c>
    </row>
    <row r="74" spans="1:11" x14ac:dyDescent="0.25">
      <c r="A74" s="194" t="s">
        <v>30</v>
      </c>
      <c r="B74" s="140">
        <v>1</v>
      </c>
      <c r="C74" s="140">
        <v>0.27800000000000002</v>
      </c>
      <c r="D74" s="142">
        <v>1</v>
      </c>
      <c r="E74" s="140">
        <v>0.27800000000000002</v>
      </c>
      <c r="F74" s="87"/>
      <c r="G74" s="47"/>
      <c r="H74" s="87" t="s">
        <v>71</v>
      </c>
      <c r="J74" s="87"/>
    </row>
    <row r="75" spans="1:11" x14ac:dyDescent="0.25">
      <c r="A75" s="194" t="s">
        <v>239</v>
      </c>
      <c r="B75" s="254">
        <v>37.299999999999997</v>
      </c>
      <c r="C75" s="254"/>
      <c r="D75" s="255">
        <v>1.39</v>
      </c>
      <c r="E75" s="255"/>
      <c r="F75" s="142">
        <v>6</v>
      </c>
      <c r="G75" s="47"/>
      <c r="H75" s="87"/>
      <c r="J75" s="87"/>
    </row>
    <row r="76" spans="1:11" x14ac:dyDescent="0.25">
      <c r="A76" s="87" t="s">
        <v>393</v>
      </c>
      <c r="B76" s="87"/>
      <c r="D76" s="87"/>
      <c r="F76" s="89"/>
      <c r="H76" s="87"/>
    </row>
    <row r="77" spans="1:11" x14ac:dyDescent="0.25">
      <c r="A77" s="87" t="s">
        <v>392</v>
      </c>
    </row>
    <row r="78" spans="1:11" x14ac:dyDescent="0.25">
      <c r="A78" s="87"/>
    </row>
    <row r="79" spans="1:11" x14ac:dyDescent="0.25">
      <c r="A79" s="186" t="s">
        <v>31</v>
      </c>
    </row>
    <row r="80" spans="1:11" x14ac:dyDescent="0.25">
      <c r="A80" s="73" t="s">
        <v>386</v>
      </c>
    </row>
    <row r="81" spans="1:20" x14ac:dyDescent="0.25">
      <c r="A81" s="73" t="s">
        <v>388</v>
      </c>
    </row>
    <row r="82" spans="1:20" x14ac:dyDescent="0.25">
      <c r="A82" s="73" t="s">
        <v>387</v>
      </c>
    </row>
    <row r="83" spans="1:20" x14ac:dyDescent="0.25">
      <c r="A83" s="186" t="s">
        <v>394</v>
      </c>
    </row>
    <row r="84" spans="1:20" ht="33" customHeight="1" x14ac:dyDescent="0.25">
      <c r="A84" s="143" t="s">
        <v>7</v>
      </c>
      <c r="B84" s="77" t="s">
        <v>32</v>
      </c>
      <c r="C84" s="77" t="s">
        <v>33</v>
      </c>
      <c r="D84" s="77" t="s">
        <v>277</v>
      </c>
      <c r="E84" s="77" t="s">
        <v>278</v>
      </c>
      <c r="F84" s="77" t="s">
        <v>35</v>
      </c>
      <c r="G84" s="77" t="s">
        <v>36</v>
      </c>
      <c r="H84" s="77" t="s">
        <v>38</v>
      </c>
      <c r="I84" s="139" t="s">
        <v>61</v>
      </c>
      <c r="J84" s="73" t="s">
        <v>96</v>
      </c>
    </row>
    <row r="85" spans="1:20" x14ac:dyDescent="0.25">
      <c r="A85" s="142" t="s">
        <v>22</v>
      </c>
      <c r="B85" s="187">
        <v>387</v>
      </c>
      <c r="C85" s="187">
        <v>7398</v>
      </c>
      <c r="D85" s="187">
        <f>2471</f>
        <v>2471</v>
      </c>
      <c r="E85" s="187">
        <f>2471*607.5/584.6</f>
        <v>2567.7942182689017</v>
      </c>
      <c r="F85" s="75"/>
      <c r="G85" s="75"/>
      <c r="H85" s="75"/>
      <c r="I85" s="176">
        <f>(E85*0.0325)/(1-(1+0.0325)^-5)</f>
        <v>564.6979943973314</v>
      </c>
      <c r="J85" s="177"/>
      <c r="K85" s="177"/>
      <c r="L85" s="177"/>
      <c r="M85" s="177"/>
      <c r="N85" s="177"/>
      <c r="O85" s="177"/>
      <c r="P85" s="177"/>
      <c r="Q85" s="177"/>
      <c r="R85" s="177"/>
      <c r="S85" s="177"/>
      <c r="T85" s="177"/>
    </row>
    <row r="86" spans="1:20" x14ac:dyDescent="0.25">
      <c r="A86" s="142" t="s">
        <v>34</v>
      </c>
      <c r="B86" s="187">
        <v>554</v>
      </c>
      <c r="C86" s="187">
        <v>9356</v>
      </c>
      <c r="D86" s="187">
        <f>2698</f>
        <v>2698</v>
      </c>
      <c r="E86" s="187">
        <f>2698*607.5/584.6</f>
        <v>2803.6862812179265</v>
      </c>
      <c r="F86" s="140">
        <v>1.41</v>
      </c>
      <c r="G86" s="140">
        <v>5.0999999999999996</v>
      </c>
      <c r="H86" s="78">
        <v>245</v>
      </c>
      <c r="I86" s="176">
        <f>(E86*0.0325)/(1-(1+0.0325)^-5)</f>
        <v>616.57433787292587</v>
      </c>
    </row>
    <row r="87" spans="1:20" x14ac:dyDescent="0.25">
      <c r="A87" s="73" t="s">
        <v>37</v>
      </c>
    </row>
    <row r="88" spans="1:20" x14ac:dyDescent="0.25">
      <c r="A88" s="73" t="s">
        <v>280</v>
      </c>
    </row>
    <row r="90" spans="1:20" x14ac:dyDescent="0.25">
      <c r="A90" s="195" t="s">
        <v>41</v>
      </c>
      <c r="B90" s="76"/>
      <c r="C90" s="76"/>
      <c r="D90" s="76"/>
      <c r="E90" s="76"/>
      <c r="F90" s="76"/>
    </row>
    <row r="91" spans="1:20" ht="39.75" customHeight="1" x14ac:dyDescent="0.25">
      <c r="A91" s="77" t="s">
        <v>42</v>
      </c>
      <c r="B91" s="77" t="s">
        <v>293</v>
      </c>
      <c r="C91" s="94" t="s">
        <v>294</v>
      </c>
      <c r="D91" s="139" t="s">
        <v>61</v>
      </c>
      <c r="E91" s="73" t="s">
        <v>96</v>
      </c>
      <c r="F91" s="92"/>
    </row>
    <row r="92" spans="1:20" x14ac:dyDescent="0.25">
      <c r="A92" s="196" t="s">
        <v>43</v>
      </c>
      <c r="B92" s="197">
        <v>2698</v>
      </c>
      <c r="C92" s="198">
        <f>B92*607.5/584.6</f>
        <v>2803.6862812179265</v>
      </c>
      <c r="D92" s="176">
        <f>(C92*0.0325)/(1-(1+0.0325)^-5)</f>
        <v>616.57433787292587</v>
      </c>
      <c r="F92" s="93"/>
    </row>
    <row r="95" spans="1:20" x14ac:dyDescent="0.25">
      <c r="A95" s="188" t="s">
        <v>89</v>
      </c>
    </row>
    <row r="96" spans="1:20" x14ac:dyDescent="0.25">
      <c r="A96" s="73" t="s">
        <v>90</v>
      </c>
    </row>
    <row r="97" spans="1:13" x14ac:dyDescent="0.25">
      <c r="A97" s="73" t="s">
        <v>91</v>
      </c>
    </row>
    <row r="98" spans="1:13" s="84" customFormat="1" ht="45" x14ac:dyDescent="0.25">
      <c r="A98" s="79" t="s">
        <v>55</v>
      </c>
      <c r="B98" s="79" t="s">
        <v>93</v>
      </c>
      <c r="C98" s="79" t="s">
        <v>94</v>
      </c>
      <c r="D98" s="139" t="s">
        <v>297</v>
      </c>
      <c r="E98" s="139" t="s">
        <v>296</v>
      </c>
      <c r="F98" s="79" t="s">
        <v>100</v>
      </c>
    </row>
    <row r="99" spans="1:13" ht="30.75" customHeight="1" x14ac:dyDescent="0.25">
      <c r="A99" s="189" t="s">
        <v>95</v>
      </c>
      <c r="B99" s="140">
        <v>260</v>
      </c>
      <c r="C99" s="74">
        <f>2*B99</f>
        <v>520</v>
      </c>
      <c r="D99" s="74">
        <f>1850</f>
        <v>1850</v>
      </c>
      <c r="E99" s="74">
        <f>D99*607.5/499.6</f>
        <v>2249.5496397117695</v>
      </c>
      <c r="F99" s="176">
        <f>(E99*0.0325)/(1-(1+0.0325)^-5)</f>
        <v>494.71104841838496</v>
      </c>
    </row>
    <row r="100" spans="1:13" x14ac:dyDescent="0.25">
      <c r="A100" s="75" t="s">
        <v>92</v>
      </c>
      <c r="B100" s="140">
        <v>230</v>
      </c>
      <c r="C100" s="74">
        <f>2*B100</f>
        <v>460</v>
      </c>
      <c r="D100" s="74">
        <f>675</f>
        <v>675</v>
      </c>
      <c r="E100" s="74">
        <f>D100*607.5/499.6</f>
        <v>820.78162530024019</v>
      </c>
      <c r="F100" s="75"/>
    </row>
    <row r="101" spans="1:13" x14ac:dyDescent="0.25">
      <c r="A101" s="76" t="s">
        <v>295</v>
      </c>
    </row>
    <row r="104" spans="1:13" x14ac:dyDescent="0.25">
      <c r="A104" s="73" t="s">
        <v>398</v>
      </c>
    </row>
    <row r="105" spans="1:13" x14ac:dyDescent="0.25">
      <c r="A105" s="199" t="s">
        <v>230</v>
      </c>
    </row>
    <row r="106" spans="1:13" x14ac:dyDescent="0.25">
      <c r="A106" s="199" t="s">
        <v>231</v>
      </c>
    </row>
    <row r="107" spans="1:13" x14ac:dyDescent="0.25">
      <c r="A107" s="199" t="s">
        <v>232</v>
      </c>
    </row>
    <row r="108" spans="1:13" x14ac:dyDescent="0.25">
      <c r="A108" s="199"/>
    </row>
    <row r="109" spans="1:13" ht="46.5" customHeight="1" x14ac:dyDescent="0.25">
      <c r="A109" s="193" t="s">
        <v>233</v>
      </c>
      <c r="B109" s="77" t="s">
        <v>301</v>
      </c>
      <c r="C109" s="77" t="s">
        <v>302</v>
      </c>
      <c r="D109" s="193" t="s">
        <v>303</v>
      </c>
      <c r="E109" s="77" t="s">
        <v>298</v>
      </c>
      <c r="F109" s="77" t="s">
        <v>299</v>
      </c>
      <c r="G109" s="143" t="s">
        <v>300</v>
      </c>
      <c r="H109" s="94" t="s">
        <v>235</v>
      </c>
      <c r="I109" s="178"/>
      <c r="J109" s="87"/>
      <c r="K109" s="87"/>
      <c r="L109" s="87"/>
      <c r="M109" s="87"/>
    </row>
    <row r="110" spans="1:13" x14ac:dyDescent="0.25">
      <c r="A110" s="75" t="s">
        <v>234</v>
      </c>
      <c r="B110" s="74">
        <f>(4*4000+6000)</f>
        <v>22000</v>
      </c>
      <c r="C110" s="74">
        <f>4000+500+400*2.5</f>
        <v>5500</v>
      </c>
      <c r="D110" s="74">
        <f>(B110+C110)*0.2</f>
        <v>5500</v>
      </c>
      <c r="E110" s="179">
        <f>B110*607.5/556.8</f>
        <v>24003.232758620692</v>
      </c>
      <c r="F110" s="179">
        <f t="shared" ref="F110:G110" si="6">C110*607.5/556.8</f>
        <v>6000.808189655173</v>
      </c>
      <c r="G110" s="179">
        <f t="shared" si="6"/>
        <v>6000.808189655173</v>
      </c>
      <c r="H110" s="179">
        <f>(((E110+F110+G110)*0.0325)/(1-(1+0.0325)^-10))/5</f>
        <v>854.97886988254845</v>
      </c>
      <c r="I110" s="180"/>
    </row>
    <row r="111" spans="1:13" x14ac:dyDescent="0.25">
      <c r="A111" s="199" t="s">
        <v>236</v>
      </c>
    </row>
    <row r="112" spans="1:13" ht="15.75" customHeight="1" x14ac:dyDescent="0.25">
      <c r="A112" s="76"/>
    </row>
    <row r="114" spans="1:6" x14ac:dyDescent="0.25">
      <c r="A114" s="188" t="s">
        <v>159</v>
      </c>
    </row>
    <row r="115" spans="1:6" x14ac:dyDescent="0.25">
      <c r="A115" s="73" t="s">
        <v>172</v>
      </c>
    </row>
    <row r="116" spans="1:6" x14ac:dyDescent="0.25">
      <c r="A116" s="73" t="s">
        <v>160</v>
      </c>
    </row>
    <row r="117" spans="1:6" ht="30" x14ac:dyDescent="0.25">
      <c r="A117" s="256" t="s">
        <v>161</v>
      </c>
      <c r="B117" s="256"/>
      <c r="C117" s="189" t="s">
        <v>162</v>
      </c>
      <c r="D117" s="140" t="s">
        <v>116</v>
      </c>
      <c r="E117" s="140" t="s">
        <v>70</v>
      </c>
      <c r="F117" s="71" t="s">
        <v>171</v>
      </c>
    </row>
    <row r="118" spans="1:6" x14ac:dyDescent="0.25">
      <c r="A118" s="200" t="s">
        <v>163</v>
      </c>
      <c r="B118" s="75"/>
      <c r="C118" s="201">
        <v>0.121</v>
      </c>
      <c r="D118" s="90">
        <v>4.1459473355613501E-2</v>
      </c>
      <c r="E118" s="90">
        <v>9.0185708864323581E-3</v>
      </c>
      <c r="F118" s="90">
        <f>C118*8760/2000*E118</f>
        <v>4.779662198391421E-3</v>
      </c>
    </row>
    <row r="119" spans="1:6" x14ac:dyDescent="0.25">
      <c r="A119" s="200" t="s">
        <v>164</v>
      </c>
      <c r="B119" s="75"/>
      <c r="C119" s="201">
        <v>1.7000000000000001E-2</v>
      </c>
      <c r="D119" s="90">
        <v>4.1459473355613501E-2</v>
      </c>
      <c r="E119" s="90">
        <v>9.0185708864323581E-3</v>
      </c>
      <c r="F119" s="90">
        <f t="shared" ref="F119:F125" si="7">C119*8760/2000*E119</f>
        <v>6.7152278820375349E-4</v>
      </c>
    </row>
    <row r="120" spans="1:6" x14ac:dyDescent="0.25">
      <c r="A120" s="200" t="s">
        <v>165</v>
      </c>
      <c r="B120" s="75"/>
      <c r="C120" s="201">
        <v>3.1E-2</v>
      </c>
      <c r="D120" s="90">
        <v>4.1459473355613501E-2</v>
      </c>
      <c r="E120" s="90">
        <v>9.0185708864323581E-3</v>
      </c>
      <c r="F120" s="90">
        <f t="shared" si="7"/>
        <v>1.2245415549597856E-3</v>
      </c>
    </row>
    <row r="121" spans="1:6" x14ac:dyDescent="0.25">
      <c r="A121" s="200" t="s">
        <v>166</v>
      </c>
      <c r="B121" s="75"/>
      <c r="C121" s="201">
        <v>0.193</v>
      </c>
      <c r="D121" s="90">
        <v>4.1459473355613501E-2</v>
      </c>
      <c r="E121" s="90">
        <v>9.0185708864323581E-3</v>
      </c>
      <c r="F121" s="90">
        <f t="shared" si="7"/>
        <v>7.6237587131367298E-3</v>
      </c>
    </row>
    <row r="122" spans="1:6" x14ac:dyDescent="0.25">
      <c r="A122" s="75" t="s">
        <v>170</v>
      </c>
      <c r="B122" s="75"/>
      <c r="C122" s="201">
        <v>1.39</v>
      </c>
      <c r="D122" s="90">
        <v>4.1459473355613501E-2</v>
      </c>
      <c r="E122" s="90">
        <v>9.0185708864323581E-3</v>
      </c>
      <c r="F122" s="90">
        <f t="shared" si="7"/>
        <v>5.4906863270777477E-2</v>
      </c>
    </row>
    <row r="123" spans="1:6" x14ac:dyDescent="0.25">
      <c r="A123" s="75" t="s">
        <v>169</v>
      </c>
      <c r="B123" s="75"/>
      <c r="C123" s="201">
        <v>37.299999999999997</v>
      </c>
      <c r="D123" s="90">
        <v>4.1459473355613501E-2</v>
      </c>
      <c r="E123" s="90">
        <v>9.0185708864323581E-3</v>
      </c>
      <c r="F123" s="90">
        <f t="shared" si="7"/>
        <v>1.4734</v>
      </c>
    </row>
    <row r="124" spans="1:6" x14ac:dyDescent="0.25">
      <c r="A124" s="75" t="s">
        <v>168</v>
      </c>
      <c r="B124" s="75"/>
      <c r="C124" s="201">
        <v>13.5</v>
      </c>
      <c r="D124" s="90">
        <v>4.1459473355613501E-2</v>
      </c>
      <c r="E124" s="90">
        <v>9.0185708864323581E-3</v>
      </c>
      <c r="F124" s="90">
        <f t="shared" si="7"/>
        <v>0.53326809651474538</v>
      </c>
    </row>
    <row r="125" spans="1:6" x14ac:dyDescent="0.25">
      <c r="A125" s="75" t="s">
        <v>167</v>
      </c>
      <c r="B125" s="75"/>
      <c r="C125" s="201">
        <v>13.3</v>
      </c>
      <c r="D125" s="90">
        <v>4.1459473355613501E-2</v>
      </c>
      <c r="E125" s="90">
        <v>9.0185708864323581E-3</v>
      </c>
      <c r="F125" s="90">
        <f t="shared" si="7"/>
        <v>0.5253678284182306</v>
      </c>
    </row>
    <row r="128" spans="1:6" x14ac:dyDescent="0.25">
      <c r="A128" s="188" t="s">
        <v>173</v>
      </c>
    </row>
    <row r="129" spans="1:9" x14ac:dyDescent="0.25">
      <c r="A129" s="73" t="s">
        <v>174</v>
      </c>
    </row>
    <row r="130" spans="1:9" x14ac:dyDescent="0.25">
      <c r="A130" s="188" t="s">
        <v>175</v>
      </c>
    </row>
    <row r="131" spans="1:9" ht="30" x14ac:dyDescent="0.25">
      <c r="A131" s="75" t="s">
        <v>179</v>
      </c>
      <c r="B131" s="189" t="s">
        <v>178</v>
      </c>
    </row>
    <row r="132" spans="1:9" x14ac:dyDescent="0.25">
      <c r="A132" s="75" t="s">
        <v>176</v>
      </c>
      <c r="B132" s="75">
        <v>212</v>
      </c>
    </row>
    <row r="133" spans="1:9" x14ac:dyDescent="0.25">
      <c r="A133" s="75" t="s">
        <v>177</v>
      </c>
      <c r="B133" s="75">
        <v>36</v>
      </c>
    </row>
    <row r="135" spans="1:9" x14ac:dyDescent="0.25">
      <c r="A135" s="188" t="s">
        <v>173</v>
      </c>
    </row>
    <row r="136" spans="1:9" x14ac:dyDescent="0.25">
      <c r="A136" s="188" t="s">
        <v>198</v>
      </c>
    </row>
    <row r="137" spans="1:9" x14ac:dyDescent="0.25">
      <c r="A137" s="73" t="s">
        <v>180</v>
      </c>
    </row>
    <row r="138" spans="1:9" x14ac:dyDescent="0.25">
      <c r="A138" s="73" t="s">
        <v>181</v>
      </c>
    </row>
    <row r="139" spans="1:9" ht="51.75" customHeight="1" x14ac:dyDescent="0.25">
      <c r="A139" s="257" t="s">
        <v>395</v>
      </c>
      <c r="B139" s="257"/>
      <c r="C139" s="257"/>
      <c r="D139" s="257"/>
      <c r="E139" s="257"/>
      <c r="F139" s="257"/>
      <c r="G139" s="257"/>
      <c r="H139" s="257"/>
      <c r="I139" s="257"/>
    </row>
    <row r="140" spans="1:9" x14ac:dyDescent="0.25">
      <c r="A140" s="258" t="s">
        <v>182</v>
      </c>
      <c r="B140" s="259"/>
      <c r="C140" s="259"/>
      <c r="D140" s="259"/>
      <c r="E140" s="259"/>
      <c r="F140" s="259"/>
    </row>
    <row r="141" spans="1:9" ht="30" x14ac:dyDescent="0.25">
      <c r="A141" s="143" t="s">
        <v>183</v>
      </c>
      <c r="B141" s="77" t="s">
        <v>187</v>
      </c>
      <c r="C141" s="77" t="s">
        <v>188</v>
      </c>
      <c r="D141" s="139" t="s">
        <v>195</v>
      </c>
      <c r="E141" s="139" t="s">
        <v>196</v>
      </c>
      <c r="F141" s="139" t="s">
        <v>197</v>
      </c>
      <c r="G141" s="139" t="s">
        <v>199</v>
      </c>
    </row>
    <row r="142" spans="1:9" x14ac:dyDescent="0.25">
      <c r="A142" s="75" t="s">
        <v>184</v>
      </c>
      <c r="B142" s="75" t="s">
        <v>189</v>
      </c>
      <c r="C142" s="75" t="s">
        <v>190</v>
      </c>
      <c r="D142" s="75"/>
      <c r="E142" s="75"/>
      <c r="F142" s="75"/>
      <c r="G142" s="140"/>
    </row>
    <row r="143" spans="1:9" x14ac:dyDescent="0.25">
      <c r="A143" s="75" t="s">
        <v>185</v>
      </c>
      <c r="B143" s="75" t="s">
        <v>191</v>
      </c>
      <c r="C143" s="75" t="s">
        <v>192</v>
      </c>
      <c r="D143" s="202">
        <f>165000</f>
        <v>165000</v>
      </c>
      <c r="E143" s="185">
        <f>D143*J73</f>
        <v>5352.748907414888</v>
      </c>
      <c r="F143" s="185">
        <f>E143*K73/J73</f>
        <v>1488.064196261339</v>
      </c>
      <c r="G143" s="90">
        <f>F143/2000</f>
        <v>0.74403209813066951</v>
      </c>
    </row>
    <row r="144" spans="1:9" x14ac:dyDescent="0.25">
      <c r="A144" s="75" t="s">
        <v>186</v>
      </c>
      <c r="B144" s="75" t="s">
        <v>193</v>
      </c>
      <c r="C144" s="75" t="s">
        <v>194</v>
      </c>
      <c r="D144" s="75"/>
      <c r="E144" s="75"/>
      <c r="F144" s="75"/>
      <c r="G144" s="140"/>
    </row>
    <row r="147" spans="1:11" x14ac:dyDescent="0.25">
      <c r="A147" s="209" t="s">
        <v>328</v>
      </c>
    </row>
    <row r="148" spans="1:11" x14ac:dyDescent="0.25">
      <c r="A148" s="73" t="s">
        <v>354</v>
      </c>
    </row>
    <row r="151" spans="1:11" x14ac:dyDescent="0.25">
      <c r="A151" s="250" t="s">
        <v>329</v>
      </c>
      <c r="B151" s="250"/>
      <c r="C151" s="250"/>
      <c r="E151" s="253" t="s">
        <v>329</v>
      </c>
      <c r="F151" s="253"/>
      <c r="G151" s="253"/>
      <c r="I151" s="253" t="s">
        <v>332</v>
      </c>
      <c r="J151" s="253"/>
      <c r="K151" s="253"/>
    </row>
    <row r="152" spans="1:11" x14ac:dyDescent="0.25">
      <c r="A152" s="75"/>
      <c r="B152" s="75" t="s">
        <v>7</v>
      </c>
      <c r="C152" s="140" t="s">
        <v>330</v>
      </c>
      <c r="E152" s="75"/>
      <c r="F152" s="75" t="s">
        <v>7</v>
      </c>
      <c r="G152" s="204" t="s">
        <v>331</v>
      </c>
      <c r="H152" s="205"/>
      <c r="I152" s="206"/>
      <c r="J152" s="75" t="s">
        <v>7</v>
      </c>
      <c r="K152" s="207" t="s">
        <v>333</v>
      </c>
    </row>
    <row r="153" spans="1:11" x14ac:dyDescent="0.25">
      <c r="A153" s="75" t="s">
        <v>106</v>
      </c>
      <c r="B153" s="75" t="s">
        <v>109</v>
      </c>
      <c r="C153" s="90">
        <v>0.43602969992903368</v>
      </c>
      <c r="E153" s="75" t="s">
        <v>106</v>
      </c>
      <c r="F153" s="75" t="s">
        <v>109</v>
      </c>
      <c r="G153" s="90">
        <v>4.1092896174863389</v>
      </c>
      <c r="H153" s="180"/>
      <c r="I153" s="75" t="s">
        <v>106</v>
      </c>
      <c r="J153" s="75" t="s">
        <v>109</v>
      </c>
      <c r="K153" s="90">
        <f>2/12</f>
        <v>0.16666666666666666</v>
      </c>
    </row>
    <row r="154" spans="1:11" x14ac:dyDescent="0.25">
      <c r="A154" s="75" t="s">
        <v>106</v>
      </c>
      <c r="B154" s="75" t="s">
        <v>110</v>
      </c>
      <c r="C154" s="90">
        <v>0.47382190634565885</v>
      </c>
      <c r="E154" s="75" t="s">
        <v>106</v>
      </c>
      <c r="F154" s="75" t="s">
        <v>110</v>
      </c>
      <c r="G154" s="90">
        <v>6.8690710382513664</v>
      </c>
      <c r="I154" s="75" t="s">
        <v>106</v>
      </c>
      <c r="J154" s="75" t="s">
        <v>110</v>
      </c>
      <c r="K154" s="90">
        <f>178/12</f>
        <v>14.833333333333334</v>
      </c>
    </row>
    <row r="155" spans="1:11" x14ac:dyDescent="0.25">
      <c r="A155" s="75" t="s">
        <v>106</v>
      </c>
      <c r="B155" s="75" t="s">
        <v>111</v>
      </c>
      <c r="C155" s="90">
        <v>2.0887396595735665E-2</v>
      </c>
      <c r="E155" s="75" t="s">
        <v>106</v>
      </c>
      <c r="F155" s="75" t="s">
        <v>111</v>
      </c>
      <c r="G155" s="90">
        <v>0.26273224043715848</v>
      </c>
      <c r="I155" s="75" t="s">
        <v>106</v>
      </c>
      <c r="J155" s="75" t="s">
        <v>111</v>
      </c>
      <c r="K155" s="90">
        <f>5/12</f>
        <v>0.41666666666666669</v>
      </c>
    </row>
    <row r="156" spans="1:11" x14ac:dyDescent="0.25">
      <c r="A156" s="75" t="s">
        <v>106</v>
      </c>
      <c r="B156" s="75" t="s">
        <v>206</v>
      </c>
      <c r="C156" s="90">
        <v>2.9350393492283737E-2</v>
      </c>
      <c r="E156" s="75" t="s">
        <v>106</v>
      </c>
      <c r="F156" s="75" t="s">
        <v>206</v>
      </c>
      <c r="G156" s="90">
        <v>1.1715846994535519</v>
      </c>
      <c r="K156" s="208"/>
    </row>
    <row r="157" spans="1:11" x14ac:dyDescent="0.25">
      <c r="A157" s="75"/>
      <c r="B157" s="75"/>
      <c r="C157" s="90"/>
      <c r="E157" s="75"/>
      <c r="F157" s="75"/>
      <c r="G157" s="90"/>
      <c r="I157" s="75" t="s">
        <v>113</v>
      </c>
      <c r="J157" s="75" t="s">
        <v>109</v>
      </c>
      <c r="K157" s="90">
        <v>0.16666666666666666</v>
      </c>
    </row>
    <row r="158" spans="1:11" x14ac:dyDescent="0.25">
      <c r="A158" s="75" t="s">
        <v>113</v>
      </c>
      <c r="B158" s="75" t="s">
        <v>109</v>
      </c>
      <c r="C158" s="90">
        <v>2.5879339783722255</v>
      </c>
      <c r="E158" s="75" t="s">
        <v>113</v>
      </c>
      <c r="F158" s="75" t="s">
        <v>109</v>
      </c>
      <c r="G158" s="203">
        <v>2.5499999999999998</v>
      </c>
      <c r="I158" s="75" t="s">
        <v>113</v>
      </c>
      <c r="J158" s="75" t="s">
        <v>110</v>
      </c>
      <c r="K158" s="90">
        <v>14.833333333333334</v>
      </c>
    </row>
    <row r="159" spans="1:11" x14ac:dyDescent="0.25">
      <c r="A159" s="75" t="s">
        <v>113</v>
      </c>
      <c r="B159" s="75" t="s">
        <v>110</v>
      </c>
      <c r="C159" s="90">
        <v>2.3553405425915388</v>
      </c>
      <c r="E159" s="75" t="s">
        <v>113</v>
      </c>
      <c r="F159" s="75" t="s">
        <v>110</v>
      </c>
      <c r="G159" s="203">
        <v>8.045454545454545</v>
      </c>
      <c r="I159" s="75" t="s">
        <v>113</v>
      </c>
      <c r="J159" s="75" t="s">
        <v>111</v>
      </c>
      <c r="K159" s="90">
        <v>0.41666666666666669</v>
      </c>
    </row>
    <row r="160" spans="1:11" x14ac:dyDescent="0.25">
      <c r="A160" s="75" t="s">
        <v>113</v>
      </c>
      <c r="B160" s="75" t="s">
        <v>111</v>
      </c>
      <c r="C160" s="90">
        <v>1.8402580155568202E-2</v>
      </c>
      <c r="E160" s="75" t="s">
        <v>113</v>
      </c>
      <c r="F160" s="75" t="s">
        <v>111</v>
      </c>
      <c r="G160" s="203">
        <v>1.2045454545454546</v>
      </c>
    </row>
    <row r="161" spans="1:7" x14ac:dyDescent="0.25">
      <c r="A161" s="75" t="s">
        <v>113</v>
      </c>
      <c r="B161" s="75" t="s">
        <v>206</v>
      </c>
      <c r="C161" s="90">
        <v>1.7738569531398216E-2</v>
      </c>
      <c r="E161" s="75" t="s">
        <v>113</v>
      </c>
      <c r="F161" s="75" t="s">
        <v>206</v>
      </c>
      <c r="G161" s="203">
        <v>0.5636363636363636</v>
      </c>
    </row>
  </sheetData>
  <sheetProtection algorithmName="SHA-512" hashValue="WOLX4Q+wcKf42/wf49f4Ex7r+O+LgnWtatXO4YccJiQQqLvqp5gNQrCjXJKhXb3ELhy5WWOxiBZ6uLZuKpbQyQ==" saltValue="jB54Y5qDH3qLV1XWe99abA==" spinCount="100000" sheet="1" objects="1" scenarios="1"/>
  <mergeCells count="14">
    <mergeCell ref="E151:G151"/>
    <mergeCell ref="I151:K151"/>
    <mergeCell ref="A151:C151"/>
    <mergeCell ref="B75:C75"/>
    <mergeCell ref="D75:E75"/>
    <mergeCell ref="A117:B117"/>
    <mergeCell ref="A139:I139"/>
    <mergeCell ref="A140:F140"/>
    <mergeCell ref="A17:B17"/>
    <mergeCell ref="C17:D17"/>
    <mergeCell ref="B71:C71"/>
    <mergeCell ref="D71:E71"/>
    <mergeCell ref="E17:F17"/>
    <mergeCell ref="A36:B36"/>
  </mergeCells>
  <phoneticPr fontId="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6A55A-2524-4E72-AE9D-008F8CFDA8E9}">
  <dimension ref="A1:AK95"/>
  <sheetViews>
    <sheetView tabSelected="1" topLeftCell="J20" zoomScale="85" zoomScaleNormal="85" workbookViewId="0">
      <selection activeCell="X20" sqref="X20:X23"/>
    </sheetView>
  </sheetViews>
  <sheetFormatPr defaultRowHeight="15" x14ac:dyDescent="0.25"/>
  <cols>
    <col min="1" max="1" width="13.85546875" customWidth="1"/>
    <col min="2" max="2" width="24.140625" customWidth="1"/>
    <col min="3" max="3" width="12.140625" customWidth="1"/>
    <col min="4" max="4" width="18.7109375" customWidth="1"/>
    <col min="5" max="5" width="16.140625" customWidth="1"/>
    <col min="6" max="8" width="14.85546875" customWidth="1"/>
    <col min="9" max="9" width="18.140625" customWidth="1"/>
    <col min="10" max="10" width="23" customWidth="1"/>
    <col min="11" max="11" width="21.42578125" customWidth="1"/>
    <col min="12" max="13" width="19.42578125" customWidth="1"/>
    <col min="14" max="14" width="18.42578125" customWidth="1"/>
    <col min="15" max="15" width="23.5703125" customWidth="1"/>
    <col min="16" max="16" width="17.7109375" customWidth="1"/>
    <col min="17" max="17" width="16.28515625" customWidth="1"/>
    <col min="18" max="18" width="19.140625" customWidth="1"/>
    <col min="19" max="19" width="21.42578125" customWidth="1"/>
    <col min="20" max="20" width="23.28515625" customWidth="1"/>
    <col min="21" max="23" width="20.42578125" customWidth="1"/>
    <col min="24" max="24" width="18" style="42" customWidth="1"/>
    <col min="25" max="25" width="20.140625" style="42" customWidth="1"/>
    <col min="26" max="28" width="18.28515625" customWidth="1"/>
    <col min="29" max="29" width="4.7109375" customWidth="1"/>
    <col min="30" max="31" width="11.85546875" style="2" customWidth="1"/>
    <col min="32" max="33" width="4.7109375" style="2" customWidth="1"/>
    <col min="34" max="34" width="22.42578125" style="2" customWidth="1"/>
    <col min="35" max="35" width="16.7109375" style="2" customWidth="1"/>
    <col min="36" max="36" width="18.7109375" style="2" customWidth="1"/>
    <col min="37" max="37" width="9.140625" style="2"/>
  </cols>
  <sheetData>
    <row r="1" spans="1:37" ht="18.75" x14ac:dyDescent="0.3">
      <c r="A1" s="11" t="s">
        <v>103</v>
      </c>
    </row>
    <row r="3" spans="1:37" x14ac:dyDescent="0.25">
      <c r="P3" s="263" t="s">
        <v>225</v>
      </c>
      <c r="Q3" s="264"/>
      <c r="R3" s="264"/>
      <c r="S3" s="265"/>
      <c r="T3" s="260" t="s">
        <v>227</v>
      </c>
      <c r="U3" s="261"/>
      <c r="V3" s="261"/>
      <c r="W3" s="262"/>
      <c r="AD3" s="104"/>
      <c r="AE3" s="104"/>
    </row>
    <row r="4" spans="1:37" s="4" customFormat="1" ht="60.75" customHeight="1" x14ac:dyDescent="0.25">
      <c r="A4" s="36" t="s">
        <v>102</v>
      </c>
      <c r="B4" s="36" t="s">
        <v>104</v>
      </c>
      <c r="C4" s="36" t="s">
        <v>112</v>
      </c>
      <c r="D4" s="36" t="s">
        <v>105</v>
      </c>
      <c r="E4" s="36" t="s">
        <v>114</v>
      </c>
      <c r="F4" s="36" t="s">
        <v>355</v>
      </c>
      <c r="G4" s="36" t="s">
        <v>313</v>
      </c>
      <c r="H4" s="36" t="s">
        <v>314</v>
      </c>
      <c r="I4" s="36" t="s">
        <v>119</v>
      </c>
      <c r="J4" s="36" t="s">
        <v>131</v>
      </c>
      <c r="K4" s="36" t="s">
        <v>201</v>
      </c>
      <c r="L4" s="36" t="s">
        <v>129</v>
      </c>
      <c r="M4" s="36" t="s">
        <v>130</v>
      </c>
      <c r="N4" s="36" t="s">
        <v>202</v>
      </c>
      <c r="O4" s="36" t="s">
        <v>238</v>
      </c>
      <c r="P4" s="105" t="s">
        <v>226</v>
      </c>
      <c r="Q4" s="105" t="s">
        <v>219</v>
      </c>
      <c r="R4" s="105" t="s">
        <v>265</v>
      </c>
      <c r="S4" s="106" t="s">
        <v>339</v>
      </c>
      <c r="T4" s="107" t="s">
        <v>215</v>
      </c>
      <c r="U4" s="107" t="s">
        <v>219</v>
      </c>
      <c r="V4" s="107" t="s">
        <v>265</v>
      </c>
      <c r="W4" s="108" t="s">
        <v>339</v>
      </c>
      <c r="X4" s="36" t="s">
        <v>308</v>
      </c>
      <c r="Y4" s="36" t="s">
        <v>309</v>
      </c>
      <c r="Z4" s="36" t="s">
        <v>319</v>
      </c>
      <c r="AA4" s="36" t="s">
        <v>320</v>
      </c>
      <c r="AB4" s="36" t="s">
        <v>321</v>
      </c>
      <c r="AD4" s="119"/>
      <c r="AE4" s="119"/>
      <c r="AF4" s="119"/>
      <c r="AG4" s="119"/>
      <c r="AH4" s="120"/>
      <c r="AI4" s="120"/>
      <c r="AJ4" s="120"/>
      <c r="AK4" s="119"/>
    </row>
    <row r="5" spans="1:37" x14ac:dyDescent="0.25">
      <c r="A5" s="15" t="s">
        <v>106</v>
      </c>
      <c r="B5" s="15" t="s">
        <v>305</v>
      </c>
      <c r="C5" s="21">
        <f>'Facility Data'!F10</f>
        <v>27489</v>
      </c>
      <c r="D5" s="15" t="s">
        <v>109</v>
      </c>
      <c r="E5" s="28">
        <v>0.43602969992903368</v>
      </c>
      <c r="F5" s="23">
        <f>C5*E5</f>
        <v>11986.020421349207</v>
      </c>
      <c r="G5" s="40">
        <v>0.2</v>
      </c>
      <c r="H5" s="23">
        <f>F5*(1-G5)</f>
        <v>9588.8163370793663</v>
      </c>
      <c r="I5" s="28">
        <f>'Study Data'!E73</f>
        <v>0.06</v>
      </c>
      <c r="J5" s="23">
        <f>H5*I5</f>
        <v>575.32898022476195</v>
      </c>
      <c r="K5" s="32">
        <f>0.109</f>
        <v>0.109</v>
      </c>
      <c r="L5" s="30"/>
      <c r="M5" s="30"/>
      <c r="N5" s="32"/>
      <c r="O5" s="26">
        <f>J5</f>
        <v>575.32898022476195</v>
      </c>
      <c r="P5" s="19" t="s">
        <v>218</v>
      </c>
      <c r="Q5" s="109">
        <f>'Study Data'!M$59</f>
        <v>461.0670505698082</v>
      </c>
      <c r="R5" s="100">
        <v>1</v>
      </c>
      <c r="S5" s="13">
        <v>1</v>
      </c>
      <c r="T5" s="19" t="s">
        <v>229</v>
      </c>
      <c r="U5" s="109">
        <f>'Study Data'!H110</f>
        <v>854.97886988254845</v>
      </c>
      <c r="V5" s="100">
        <v>1</v>
      </c>
      <c r="W5" s="13">
        <v>1</v>
      </c>
      <c r="X5" s="37">
        <f>($H5*$K5*$Q5*$S5)+($H5*(1-$K5)*$U5*$W5)</f>
        <v>7786526.2137524178</v>
      </c>
      <c r="Y5" s="23">
        <f>($K5*$O5*($R5)*$S5)+((1-$K5)*$O5*($V5)*$W5)</f>
        <v>575.32898022476195</v>
      </c>
      <c r="Z5" s="26">
        <f>O5-Y5</f>
        <v>0</v>
      </c>
      <c r="AA5" s="23">
        <f>H5*(K5*S5+(1-K5)*W5)</f>
        <v>9588.8163370793663</v>
      </c>
      <c r="AB5" s="40">
        <f>AA5/H5</f>
        <v>1</v>
      </c>
      <c r="AI5" s="121"/>
      <c r="AJ5" s="121"/>
    </row>
    <row r="6" spans="1:37" x14ac:dyDescent="0.25">
      <c r="A6" s="15" t="s">
        <v>106</v>
      </c>
      <c r="B6" s="15" t="s">
        <v>305</v>
      </c>
      <c r="C6" s="21">
        <f>C5</f>
        <v>27489</v>
      </c>
      <c r="D6" s="15" t="s">
        <v>110</v>
      </c>
      <c r="E6" s="28">
        <v>0.47382190634565885</v>
      </c>
      <c r="F6" s="23">
        <f t="shared" ref="F6:F7" si="0">C6*E6</f>
        <v>13024.890383535816</v>
      </c>
      <c r="G6" s="40">
        <v>0.2</v>
      </c>
      <c r="H6" s="23">
        <f t="shared" ref="H6:H8" si="1">F6*(1-G6)</f>
        <v>10419.912306828654</v>
      </c>
      <c r="I6" s="28">
        <f>'Study Data'!F124</f>
        <v>0.53326809651474538</v>
      </c>
      <c r="J6" s="23">
        <f t="shared" ref="J6:J8" si="2">H6*I6</f>
        <v>5556.6068017130856</v>
      </c>
      <c r="K6" s="32">
        <f>K5</f>
        <v>0.109</v>
      </c>
      <c r="L6" s="30"/>
      <c r="M6" s="30"/>
      <c r="N6" s="32"/>
      <c r="O6" s="26">
        <f>J6</f>
        <v>5556.6068017130856</v>
      </c>
      <c r="P6" s="19" t="s">
        <v>218</v>
      </c>
      <c r="Q6" s="109">
        <f>'Study Data'!M$59</f>
        <v>461.0670505698082</v>
      </c>
      <c r="R6" s="100">
        <v>1</v>
      </c>
      <c r="S6" s="13">
        <v>1</v>
      </c>
      <c r="T6" s="19" t="s">
        <v>229</v>
      </c>
      <c r="U6" s="109">
        <f>'Study Data'!H110</f>
        <v>854.97886988254845</v>
      </c>
      <c r="V6" s="100">
        <v>1</v>
      </c>
      <c r="W6" s="13">
        <v>1</v>
      </c>
      <c r="X6" s="37">
        <f>($H6*$K6*$Q6*$S6)+($H6*(1-$K6)*$U6*$W6)</f>
        <v>8461411.4474566523</v>
      </c>
      <c r="Y6" s="23">
        <f>($K6*$O6*($R6)*$S6)+((1-$K6)*$O6*($V6)*$W6)</f>
        <v>5556.6068017130856</v>
      </c>
      <c r="Z6" s="26">
        <f>O6-Y6</f>
        <v>0</v>
      </c>
      <c r="AA6" s="23">
        <f>H6*(K6*S6+(1-K6)*W6)</f>
        <v>10419.912306828654</v>
      </c>
      <c r="AB6" s="40">
        <f t="shared" ref="AB6:AB8" si="3">AA6/H6</f>
        <v>1</v>
      </c>
      <c r="AI6" s="121"/>
      <c r="AJ6" s="121"/>
    </row>
    <row r="7" spans="1:37" x14ac:dyDescent="0.25">
      <c r="A7" s="15" t="s">
        <v>106</v>
      </c>
      <c r="B7" s="15" t="s">
        <v>305</v>
      </c>
      <c r="C7" s="21">
        <f>C6</f>
        <v>27489</v>
      </c>
      <c r="D7" s="15" t="s">
        <v>111</v>
      </c>
      <c r="E7" s="28">
        <v>2.0887396595735665E-2</v>
      </c>
      <c r="F7" s="23">
        <f t="shared" si="0"/>
        <v>574.17364502017767</v>
      </c>
      <c r="G7" s="40">
        <v>0.2</v>
      </c>
      <c r="H7" s="23">
        <f t="shared" si="1"/>
        <v>459.33891601614215</v>
      </c>
      <c r="I7" s="28">
        <f>'Study Data'!C73</f>
        <v>1.4734</v>
      </c>
      <c r="J7" s="23">
        <f t="shared" si="2"/>
        <v>676.78995885818381</v>
      </c>
      <c r="K7" s="32">
        <f t="shared" ref="K7" si="4">K6</f>
        <v>0.109</v>
      </c>
      <c r="L7" s="30">
        <f>'Facility Data'!O$10</f>
        <v>0.1484593837535014</v>
      </c>
      <c r="M7" s="30">
        <f>'Facility Data'!P$10</f>
        <v>0.13452653788788244</v>
      </c>
      <c r="N7" s="32">
        <f>(0.05+0.2)/2</f>
        <v>0.125</v>
      </c>
      <c r="O7" s="58">
        <f>(J7*(1-(L7+M7)))+(J7*(L7+M7)*N7)+(J7*(L7+M7)*(1-N7)*(6/'Study Data'!$B$75))</f>
        <v>536.16503650199343</v>
      </c>
      <c r="P7" s="19" t="s">
        <v>218</v>
      </c>
      <c r="Q7" s="109">
        <f>'Study Data'!M$59</f>
        <v>461.0670505698082</v>
      </c>
      <c r="R7" s="100">
        <v>1</v>
      </c>
      <c r="S7" s="13">
        <v>1</v>
      </c>
      <c r="T7" s="19" t="str">
        <f>T6</f>
        <v>Solar electric controller</v>
      </c>
      <c r="U7" s="109">
        <f>U6</f>
        <v>854.97886988254845</v>
      </c>
      <c r="V7" s="100">
        <f>V6</f>
        <v>1</v>
      </c>
      <c r="W7" s="13">
        <v>1</v>
      </c>
      <c r="X7" s="37">
        <f>($H7*$K7*$Q7*$S7)+($H7*(1-$K7)*$U7*$W7)</f>
        <v>373002.71324684843</v>
      </c>
      <c r="Y7" s="23">
        <f>($K7*$O7*($R7)*$S7)+((1-$K7)*$O7*($V7)*$W7)</f>
        <v>536.16503650199343</v>
      </c>
      <c r="Z7" s="26">
        <f>O7-Y7</f>
        <v>0</v>
      </c>
      <c r="AA7" s="23">
        <f>H7*(K7*S7+(1-K7)*W7)</f>
        <v>459.33891601614215</v>
      </c>
      <c r="AB7" s="40">
        <f t="shared" si="3"/>
        <v>1</v>
      </c>
      <c r="AI7" s="121"/>
      <c r="AJ7" s="121"/>
    </row>
    <row r="8" spans="1:37" x14ac:dyDescent="0.25">
      <c r="A8" s="15" t="s">
        <v>106</v>
      </c>
      <c r="B8" s="15" t="s">
        <v>305</v>
      </c>
      <c r="C8" s="21">
        <f>C7</f>
        <v>27489</v>
      </c>
      <c r="D8" s="15" t="s">
        <v>206</v>
      </c>
      <c r="E8" s="28">
        <v>2.9350393492283737E-2</v>
      </c>
      <c r="F8" s="23">
        <f>C8*E8</f>
        <v>806.81296670938764</v>
      </c>
      <c r="G8" s="40">
        <v>0.2</v>
      </c>
      <c r="H8" s="23">
        <f t="shared" si="1"/>
        <v>645.45037336751011</v>
      </c>
      <c r="I8" s="28">
        <f>'Study Data'!F125</f>
        <v>0.5253678284182306</v>
      </c>
      <c r="J8" s="23">
        <f t="shared" si="2"/>
        <v>339.09886100782495</v>
      </c>
      <c r="K8" s="32">
        <f>K7</f>
        <v>0.109</v>
      </c>
      <c r="L8" s="15"/>
      <c r="M8" s="30">
        <f>M7</f>
        <v>0.13452653788788244</v>
      </c>
      <c r="N8" s="32"/>
      <c r="O8" s="26">
        <f>J8*(1-M8)+J8*M8*0.05</f>
        <v>295.76195502337339</v>
      </c>
      <c r="P8" s="19" t="s">
        <v>218</v>
      </c>
      <c r="Q8" s="109">
        <f>'Study Data'!M$59</f>
        <v>461.0670505698082</v>
      </c>
      <c r="R8" s="100">
        <v>1</v>
      </c>
      <c r="S8" s="13">
        <v>1</v>
      </c>
      <c r="T8" s="19" t="s">
        <v>222</v>
      </c>
      <c r="U8" s="109">
        <f>'Study Data'!E46</f>
        <v>525.61933918003331</v>
      </c>
      <c r="V8" s="100">
        <v>1</v>
      </c>
      <c r="W8" s="13">
        <v>1</v>
      </c>
      <c r="X8" s="37">
        <f>($H8*$K8*$Q8*$S8)+($H8*(1-$K8)*$U8*$W8)</f>
        <v>334719.68115534994</v>
      </c>
      <c r="Y8" s="23">
        <f>($K8*$O8*($R8)*$S8)+((1-$K8)*$O8*($V8)*$W8)</f>
        <v>295.76195502337339</v>
      </c>
      <c r="Z8" s="26">
        <f t="shared" ref="Z8" si="5">O8-Y8</f>
        <v>0</v>
      </c>
      <c r="AA8" s="23">
        <f>H8*(K8*S8+(1-K8)*W8)</f>
        <v>645.45037336751011</v>
      </c>
      <c r="AB8" s="40">
        <f t="shared" si="3"/>
        <v>1</v>
      </c>
      <c r="AI8" s="121"/>
      <c r="AJ8" s="121"/>
    </row>
    <row r="9" spans="1:37" x14ac:dyDescent="0.25">
      <c r="A9" s="18" t="s">
        <v>115</v>
      </c>
      <c r="B9" s="13">
        <v>1</v>
      </c>
      <c r="C9" s="13" t="s">
        <v>315</v>
      </c>
      <c r="D9" s="13"/>
      <c r="E9" s="13">
        <v>8</v>
      </c>
      <c r="F9" s="13"/>
      <c r="G9" s="13"/>
      <c r="H9" s="13"/>
      <c r="I9" s="13" t="s">
        <v>324</v>
      </c>
      <c r="J9" s="13"/>
      <c r="K9" s="13">
        <v>16</v>
      </c>
      <c r="L9" s="13" t="s">
        <v>316</v>
      </c>
      <c r="M9" s="13" t="s">
        <v>316</v>
      </c>
      <c r="N9" s="13" t="s">
        <v>317</v>
      </c>
      <c r="O9" s="19"/>
      <c r="P9" s="19"/>
      <c r="Q9" s="13">
        <v>27</v>
      </c>
      <c r="R9" s="13">
        <v>30</v>
      </c>
      <c r="S9" s="19"/>
      <c r="T9" s="19"/>
      <c r="U9" s="39" t="s">
        <v>318</v>
      </c>
      <c r="V9" s="39">
        <v>30</v>
      </c>
      <c r="W9" s="19"/>
      <c r="X9" s="13">
        <v>34</v>
      </c>
      <c r="Y9" s="39">
        <v>34</v>
      </c>
      <c r="Z9" s="13">
        <v>35</v>
      </c>
      <c r="AA9" s="38"/>
      <c r="AB9" s="100"/>
      <c r="AI9" s="121"/>
      <c r="AJ9" s="121"/>
    </row>
    <row r="10" spans="1:37" x14ac:dyDescent="0.25">
      <c r="A10" s="15" t="s">
        <v>106</v>
      </c>
      <c r="B10" s="15" t="s">
        <v>107</v>
      </c>
      <c r="C10" s="15">
        <f>ROUND(SUM('Facility Data'!C64:G64)+'Facility Data'!H65/2,0)</f>
        <v>570</v>
      </c>
      <c r="D10" s="15" t="s">
        <v>109</v>
      </c>
      <c r="E10" s="28">
        <v>4.1092896174863389</v>
      </c>
      <c r="F10" s="23">
        <f t="shared" ref="F10:F13" si="6">C10*E10</f>
        <v>2342.2950819672133</v>
      </c>
      <c r="G10" s="40">
        <v>0.2</v>
      </c>
      <c r="H10" s="23">
        <f t="shared" ref="H10:H13" si="7">F10*(1-G10)</f>
        <v>1873.8360655737706</v>
      </c>
      <c r="I10" s="28">
        <f>'Study Data'!F122</f>
        <v>5.4906863270777477E-2</v>
      </c>
      <c r="J10" s="23">
        <f>H10*I10</f>
        <v>102.88646064431065</v>
      </c>
      <c r="K10" s="32">
        <f>0.039</f>
        <v>3.9E-2</v>
      </c>
      <c r="L10" s="15"/>
      <c r="M10" s="15"/>
      <c r="N10" s="32"/>
      <c r="O10" s="26">
        <f t="shared" ref="O10:O11" si="8">J10</f>
        <v>102.88646064431065</v>
      </c>
      <c r="P10" s="19" t="s">
        <v>218</v>
      </c>
      <c r="Q10" s="109">
        <f>'Study Data'!M$59</f>
        <v>461.0670505698082</v>
      </c>
      <c r="R10" s="100">
        <v>1</v>
      </c>
      <c r="S10" s="13">
        <v>1</v>
      </c>
      <c r="T10" s="19" t="s">
        <v>229</v>
      </c>
      <c r="U10" s="109">
        <f>'Study Data'!H110</f>
        <v>854.97886988254845</v>
      </c>
      <c r="V10" s="100">
        <v>1</v>
      </c>
      <c r="W10" s="13">
        <v>1</v>
      </c>
      <c r="X10" s="37">
        <f>($H10*$K10*$Q10*$S10)+($H10*(1-$K10)*$U10*$W10)</f>
        <v>1573303.3209157479</v>
      </c>
      <c r="Y10" s="23">
        <f>($K10*$O10*($R10)*$S10)+((1-$K10)*$O10*($V10)*$W10)</f>
        <v>102.88646064431065</v>
      </c>
      <c r="Z10" s="26">
        <f t="shared" ref="Z10:Z13" si="9">O10-Y10</f>
        <v>0</v>
      </c>
      <c r="AA10" s="23">
        <f>H10*(K10*S10+(1-K10)*W10)</f>
        <v>1873.8360655737706</v>
      </c>
      <c r="AB10" s="40">
        <f>AA10/H10</f>
        <v>1</v>
      </c>
      <c r="AI10" s="121"/>
      <c r="AJ10" s="121"/>
    </row>
    <row r="11" spans="1:37" x14ac:dyDescent="0.25">
      <c r="A11" s="15" t="s">
        <v>106</v>
      </c>
      <c r="B11" s="15" t="s">
        <v>107</v>
      </c>
      <c r="C11" s="15">
        <f>C10</f>
        <v>570</v>
      </c>
      <c r="D11" s="15" t="s">
        <v>110</v>
      </c>
      <c r="E11" s="28">
        <v>6.8690710382513664</v>
      </c>
      <c r="F11" s="23">
        <f t="shared" si="6"/>
        <v>3915.370491803279</v>
      </c>
      <c r="G11" s="40">
        <v>0.2</v>
      </c>
      <c r="H11" s="23">
        <f t="shared" si="7"/>
        <v>3132.2963934426234</v>
      </c>
      <c r="I11" s="28">
        <f>'Study Data'!F124</f>
        <v>0.53326809651474538</v>
      </c>
      <c r="J11" s="23">
        <f t="shared" ref="J11:J13" si="10">H11*I11</f>
        <v>1670.3537354511498</v>
      </c>
      <c r="K11" s="32">
        <f>K10</f>
        <v>3.9E-2</v>
      </c>
      <c r="L11" s="15"/>
      <c r="M11" s="15"/>
      <c r="N11" s="32"/>
      <c r="O11" s="26">
        <f t="shared" si="8"/>
        <v>1670.3537354511498</v>
      </c>
      <c r="P11" s="19" t="s">
        <v>218</v>
      </c>
      <c r="Q11" s="109">
        <f>'Study Data'!M$59</f>
        <v>461.0670505698082</v>
      </c>
      <c r="R11" s="100">
        <v>1</v>
      </c>
      <c r="S11" s="13">
        <v>1</v>
      </c>
      <c r="T11" s="19" t="s">
        <v>229</v>
      </c>
      <c r="U11" s="109">
        <f>'Study Data'!H110</f>
        <v>854.97886988254845</v>
      </c>
      <c r="V11" s="100">
        <v>1</v>
      </c>
      <c r="W11" s="13">
        <v>0</v>
      </c>
      <c r="X11" s="37">
        <f>($H11*$K11*$Q11*$S11)+($H11*(1-$K11)*$U11*$W11)</f>
        <v>56323.74772576648</v>
      </c>
      <c r="Y11" s="23">
        <f>($K11*$O11*($R11)*$S11)+((1-$K11)*$O11*($V11)*$W11)</f>
        <v>65.143795682594842</v>
      </c>
      <c r="Z11" s="26">
        <f>O11-Y11</f>
        <v>1605.2099397685549</v>
      </c>
      <c r="AA11" s="23">
        <f>H11*(K11*S11+(1-K11)*W11)</f>
        <v>122.15955934426232</v>
      </c>
      <c r="AB11" s="40">
        <f t="shared" ref="AB11:AB12" si="11">AA11/H11</f>
        <v>3.9E-2</v>
      </c>
      <c r="AI11" s="121"/>
      <c r="AJ11" s="121"/>
    </row>
    <row r="12" spans="1:37" x14ac:dyDescent="0.25">
      <c r="A12" s="15" t="s">
        <v>106</v>
      </c>
      <c r="B12" s="15" t="s">
        <v>107</v>
      </c>
      <c r="C12" s="15">
        <f t="shared" ref="C12" si="12">C11</f>
        <v>570</v>
      </c>
      <c r="D12" s="15" t="s">
        <v>111</v>
      </c>
      <c r="E12" s="28">
        <v>0.26273224043715848</v>
      </c>
      <c r="F12" s="23">
        <f t="shared" si="6"/>
        <v>149.75737704918035</v>
      </c>
      <c r="G12" s="40">
        <v>0.2</v>
      </c>
      <c r="H12" s="23">
        <f t="shared" si="7"/>
        <v>119.80590163934428</v>
      </c>
      <c r="I12" s="28">
        <f>'Study Data'!F123</f>
        <v>1.4734</v>
      </c>
      <c r="J12" s="23">
        <f t="shared" si="10"/>
        <v>176.52201547540989</v>
      </c>
      <c r="K12" s="32">
        <f t="shared" ref="K12" si="13">K11</f>
        <v>3.9E-2</v>
      </c>
      <c r="L12" s="30">
        <f>'Facility Data'!B154</f>
        <v>8.3214105369466412E-2</v>
      </c>
      <c r="M12" s="30">
        <f>'Facility Data'!C154</f>
        <v>0.32385120350109409</v>
      </c>
      <c r="N12" s="32">
        <f>(0.05+0.2)/2</f>
        <v>0.125</v>
      </c>
      <c r="O12" s="26">
        <f>(J12*(1-(L12+M12)))+(J12*(L12+M12)*N12)+(J12*(L12+M12)*(1-N12)*(6/'Study Data'!$B$75))</f>
        <v>123.76180389513981</v>
      </c>
      <c r="P12" s="19" t="s">
        <v>218</v>
      </c>
      <c r="Q12" s="109">
        <f>'Study Data'!M$59</f>
        <v>461.0670505698082</v>
      </c>
      <c r="R12" s="100">
        <v>1</v>
      </c>
      <c r="S12" s="13">
        <v>1</v>
      </c>
      <c r="T12" s="19" t="str">
        <f>T11</f>
        <v>Solar electric controller</v>
      </c>
      <c r="U12" s="109">
        <f>U11</f>
        <v>854.97886988254845</v>
      </c>
      <c r="V12" s="100">
        <f>V11</f>
        <v>1</v>
      </c>
      <c r="W12" s="13">
        <v>1</v>
      </c>
      <c r="X12" s="37">
        <f>($H12*$K12*$Q12*$S12)+($H12*(1-$K12)*$U12*$W12)</f>
        <v>100590.9889223792</v>
      </c>
      <c r="Y12" s="23">
        <f>($K12*$O12*($R12)*$S12)+((1-$K12)*$O12*($V12)*$W12)</f>
        <v>123.76180389513979</v>
      </c>
      <c r="Z12" s="26">
        <f t="shared" si="9"/>
        <v>0</v>
      </c>
      <c r="AA12" s="23">
        <f>H12*(K12*S12+(1-K12)*W12)</f>
        <v>119.80590163934428</v>
      </c>
      <c r="AB12" s="40">
        <f t="shared" si="11"/>
        <v>1</v>
      </c>
      <c r="AI12" s="121"/>
      <c r="AJ12" s="121"/>
    </row>
    <row r="13" spans="1:37" x14ac:dyDescent="0.25">
      <c r="A13" s="15" t="s">
        <v>106</v>
      </c>
      <c r="B13" s="15" t="s">
        <v>107</v>
      </c>
      <c r="C13" s="15">
        <f>C12</f>
        <v>570</v>
      </c>
      <c r="D13" s="15" t="s">
        <v>206</v>
      </c>
      <c r="E13" s="28">
        <v>1.1715846994535519</v>
      </c>
      <c r="F13" s="23">
        <f t="shared" si="6"/>
        <v>667.80327868852464</v>
      </c>
      <c r="G13" s="40">
        <v>0.2</v>
      </c>
      <c r="H13" s="23">
        <f t="shared" si="7"/>
        <v>534.24262295081974</v>
      </c>
      <c r="I13" s="28">
        <f>'Study Data'!F125</f>
        <v>0.5253678284182306</v>
      </c>
      <c r="J13" s="23">
        <f t="shared" si="10"/>
        <v>280.67388666813173</v>
      </c>
      <c r="K13" s="32">
        <f>K12</f>
        <v>3.9E-2</v>
      </c>
      <c r="L13" s="15"/>
      <c r="M13" s="15"/>
      <c r="N13" s="32"/>
      <c r="O13" s="26">
        <f>J13</f>
        <v>280.67388666813173</v>
      </c>
      <c r="P13" s="19" t="s">
        <v>218</v>
      </c>
      <c r="Q13" s="109">
        <f>'Study Data'!M$59</f>
        <v>461.0670505698082</v>
      </c>
      <c r="R13" s="100">
        <v>1</v>
      </c>
      <c r="S13" s="13">
        <v>1</v>
      </c>
      <c r="T13" s="19" t="s">
        <v>222</v>
      </c>
      <c r="U13" s="109">
        <f>'Study Data'!E46</f>
        <v>525.61933918003331</v>
      </c>
      <c r="V13" s="100">
        <v>1</v>
      </c>
      <c r="W13" s="13">
        <v>1</v>
      </c>
      <c r="X13" s="37">
        <f>($H13*$K13*$Q13*$S13)+($H13*(1-$K13)*$U13*$W13)</f>
        <v>279463.27766181791</v>
      </c>
      <c r="Y13" s="23">
        <f>($K13*$O13*($R13)*$S13)+((1-$K13)*$O13*($V13)*$W13)</f>
        <v>280.67388666813173</v>
      </c>
      <c r="Z13" s="26">
        <f t="shared" si="9"/>
        <v>0</v>
      </c>
      <c r="AA13" s="23">
        <f>H13*(K13*S13+(1-K13)*W13)</f>
        <v>534.24262295081974</v>
      </c>
      <c r="AB13" s="40"/>
      <c r="AI13" s="121"/>
      <c r="AJ13" s="121"/>
    </row>
    <row r="14" spans="1:37" x14ac:dyDescent="0.25">
      <c r="A14" s="18" t="s">
        <v>115</v>
      </c>
      <c r="B14" s="19"/>
      <c r="C14" s="13" t="s">
        <v>322</v>
      </c>
      <c r="D14" s="13"/>
      <c r="E14" s="13">
        <v>9</v>
      </c>
      <c r="F14" s="13"/>
      <c r="G14" s="13"/>
      <c r="H14" s="13"/>
      <c r="I14" s="13" t="s">
        <v>325</v>
      </c>
      <c r="J14" s="13"/>
      <c r="K14" s="13">
        <v>16</v>
      </c>
      <c r="L14" s="13">
        <v>22</v>
      </c>
      <c r="M14" s="13">
        <v>22</v>
      </c>
      <c r="N14" s="13" t="s">
        <v>317</v>
      </c>
      <c r="O14" s="19"/>
      <c r="P14" s="19"/>
      <c r="Q14" s="13">
        <v>27</v>
      </c>
      <c r="R14" s="13">
        <v>30</v>
      </c>
      <c r="S14" s="19"/>
      <c r="T14" s="19"/>
      <c r="U14" s="39" t="s">
        <v>318</v>
      </c>
      <c r="V14" s="39">
        <v>30</v>
      </c>
      <c r="W14" s="19"/>
      <c r="X14" s="13">
        <v>34</v>
      </c>
      <c r="Y14" s="39">
        <v>34</v>
      </c>
      <c r="Z14" s="13">
        <v>35</v>
      </c>
      <c r="AA14" s="38"/>
      <c r="AB14" s="100"/>
      <c r="AI14" s="121"/>
      <c r="AJ14" s="121"/>
    </row>
    <row r="15" spans="1:37" x14ac:dyDescent="0.25">
      <c r="A15" s="15" t="s">
        <v>106</v>
      </c>
      <c r="B15" s="15" t="s">
        <v>30</v>
      </c>
      <c r="C15" s="21">
        <f>'Facility Data'!C26</f>
        <v>40</v>
      </c>
      <c r="D15" s="15" t="s">
        <v>109</v>
      </c>
      <c r="E15" s="15">
        <v>0</v>
      </c>
      <c r="F15" s="23">
        <f t="shared" ref="F15:F18" si="14">C15*E15</f>
        <v>0</v>
      </c>
      <c r="G15" s="40">
        <v>1</v>
      </c>
      <c r="H15" s="23">
        <f t="shared" ref="H15:H18" si="15">F15*(1-G15)</f>
        <v>0</v>
      </c>
      <c r="I15" s="15"/>
      <c r="J15" s="23">
        <f>H15*I15</f>
        <v>0</v>
      </c>
      <c r="K15" s="32">
        <v>1</v>
      </c>
      <c r="L15" s="32">
        <f>'Facility Data'!V118/'Facility Data'!T118</f>
        <v>0.17499999999999999</v>
      </c>
      <c r="M15" s="32">
        <f>'Facility Data'!U118/'Facility Data'!T118</f>
        <v>0.6</v>
      </c>
      <c r="N15" s="32"/>
      <c r="O15" s="26">
        <f t="shared" ref="O15:O16" si="16">J15</f>
        <v>0</v>
      </c>
      <c r="P15" s="19" t="s">
        <v>218</v>
      </c>
      <c r="Q15" s="109">
        <f>'Study Data'!L$59</f>
        <v>4610.6705056980818</v>
      </c>
      <c r="R15" s="100">
        <v>1</v>
      </c>
      <c r="S15" s="13">
        <v>1</v>
      </c>
      <c r="T15" s="19" t="s">
        <v>224</v>
      </c>
      <c r="U15" s="19" t="s">
        <v>224</v>
      </c>
      <c r="V15" s="19" t="s">
        <v>224</v>
      </c>
      <c r="W15" s="13"/>
      <c r="X15" s="37">
        <f>Q15*H15*S15</f>
        <v>0</v>
      </c>
      <c r="Y15" s="23">
        <f>($K15*$O15*($R15)*$S15)</f>
        <v>0</v>
      </c>
      <c r="Z15" s="26">
        <f t="shared" ref="Z15:Z23" si="17">O15-Y15</f>
        <v>0</v>
      </c>
      <c r="AA15" s="23">
        <f>H15*(K15*S15+(1-K15)*W15)</f>
        <v>0</v>
      </c>
      <c r="AB15" s="40"/>
      <c r="AI15" s="121"/>
      <c r="AJ15" s="121"/>
    </row>
    <row r="16" spans="1:37" x14ac:dyDescent="0.25">
      <c r="A16" s="15" t="s">
        <v>106</v>
      </c>
      <c r="B16" s="15" t="s">
        <v>30</v>
      </c>
      <c r="C16" s="21">
        <f>C15</f>
        <v>40</v>
      </c>
      <c r="D16" s="15" t="s">
        <v>110</v>
      </c>
      <c r="E16" s="15">
        <v>0</v>
      </c>
      <c r="F16" s="23">
        <f t="shared" si="14"/>
        <v>0</v>
      </c>
      <c r="G16" s="40">
        <v>1</v>
      </c>
      <c r="H16" s="23">
        <f t="shared" si="15"/>
        <v>0</v>
      </c>
      <c r="I16" s="20"/>
      <c r="J16" s="23">
        <f t="shared" ref="J16:J18" si="18">H16*I16</f>
        <v>0</v>
      </c>
      <c r="K16" s="32">
        <v>1</v>
      </c>
      <c r="L16" s="15"/>
      <c r="M16" s="15"/>
      <c r="N16" s="32"/>
      <c r="O16" s="26">
        <f t="shared" si="16"/>
        <v>0</v>
      </c>
      <c r="P16" s="19" t="s">
        <v>218</v>
      </c>
      <c r="Q16" s="109">
        <f>'Study Data'!L$59</f>
        <v>4610.6705056980818</v>
      </c>
      <c r="R16" s="100">
        <v>1</v>
      </c>
      <c r="S16" s="13">
        <v>1</v>
      </c>
      <c r="T16" s="19" t="s">
        <v>224</v>
      </c>
      <c r="U16" s="19" t="s">
        <v>224</v>
      </c>
      <c r="V16" s="19" t="s">
        <v>224</v>
      </c>
      <c r="W16" s="13"/>
      <c r="X16" s="37">
        <f>Q16*H16*S16</f>
        <v>0</v>
      </c>
      <c r="Y16" s="23">
        <f>($K16*$O16*($R16)*$S16)</f>
        <v>0</v>
      </c>
      <c r="Z16" s="26">
        <f t="shared" si="17"/>
        <v>0</v>
      </c>
      <c r="AA16" s="23">
        <f>H16*(K16*S16+(1-K16)*W16)</f>
        <v>0</v>
      </c>
      <c r="AB16" s="40"/>
      <c r="AI16" s="121"/>
      <c r="AJ16" s="121"/>
    </row>
    <row r="17" spans="1:37" x14ac:dyDescent="0.25">
      <c r="A17" s="15" t="s">
        <v>106</v>
      </c>
      <c r="B17" s="15" t="s">
        <v>30</v>
      </c>
      <c r="C17" s="21">
        <f>C16</f>
        <v>40</v>
      </c>
      <c r="D17" s="15" t="s">
        <v>111</v>
      </c>
      <c r="E17" s="15">
        <v>0</v>
      </c>
      <c r="F17" s="23">
        <f>C17*E17</f>
        <v>0</v>
      </c>
      <c r="G17" s="40">
        <v>1</v>
      </c>
      <c r="H17" s="23">
        <f t="shared" si="15"/>
        <v>0</v>
      </c>
      <c r="I17" s="28"/>
      <c r="J17" s="23">
        <f t="shared" si="18"/>
        <v>0</v>
      </c>
      <c r="K17" s="32">
        <v>1</v>
      </c>
      <c r="L17" s="32">
        <f>L15</f>
        <v>0.17499999999999999</v>
      </c>
      <c r="M17" s="30">
        <f>M15</f>
        <v>0.6</v>
      </c>
      <c r="N17" s="32">
        <f>(0.05+0.2)/2</f>
        <v>0.125</v>
      </c>
      <c r="O17" s="26">
        <f>(J17*(1-(L17+M17)))+(J17*(L17+M17)*N17)+(J17*(L17+M17)*(1-N17)*(0))</f>
        <v>0</v>
      </c>
      <c r="P17" s="19" t="s">
        <v>218</v>
      </c>
      <c r="Q17" s="109">
        <f>'Study Data'!L$59</f>
        <v>4610.6705056980818</v>
      </c>
      <c r="R17" s="100">
        <v>1</v>
      </c>
      <c r="S17" s="13">
        <v>1</v>
      </c>
      <c r="T17" s="19" t="s">
        <v>224</v>
      </c>
      <c r="U17" s="19" t="s">
        <v>224</v>
      </c>
      <c r="V17" s="19" t="s">
        <v>224</v>
      </c>
      <c r="W17" s="13"/>
      <c r="X17" s="37">
        <f>Q17*H17*S17</f>
        <v>0</v>
      </c>
      <c r="Y17" s="23">
        <f>($K17*$O17*($R17)*$S17)</f>
        <v>0</v>
      </c>
      <c r="Z17" s="26">
        <f>O17-Y17</f>
        <v>0</v>
      </c>
      <c r="AA17" s="23">
        <f>H17*(K17*S17+(1-K17)*W17)</f>
        <v>0</v>
      </c>
      <c r="AB17" s="40"/>
      <c r="AI17" s="121"/>
      <c r="AJ17" s="121"/>
    </row>
    <row r="18" spans="1:37" x14ac:dyDescent="0.25">
      <c r="A18" s="15" t="s">
        <v>106</v>
      </c>
      <c r="B18" s="15" t="s">
        <v>30</v>
      </c>
      <c r="C18" s="21">
        <f>C17</f>
        <v>40</v>
      </c>
      <c r="D18" s="15" t="s">
        <v>206</v>
      </c>
      <c r="E18" s="15">
        <v>0</v>
      </c>
      <c r="F18" s="23">
        <f t="shared" si="14"/>
        <v>0</v>
      </c>
      <c r="G18" s="40">
        <v>1</v>
      </c>
      <c r="H18" s="23">
        <f t="shared" si="15"/>
        <v>0</v>
      </c>
      <c r="I18" s="15"/>
      <c r="J18" s="23">
        <f t="shared" si="18"/>
        <v>0</v>
      </c>
      <c r="K18" s="32">
        <v>1</v>
      </c>
      <c r="L18" s="15"/>
      <c r="M18" s="30">
        <f>M15</f>
        <v>0.6</v>
      </c>
      <c r="N18" s="32"/>
      <c r="O18" s="26">
        <f>(C18*I18)*(1-M18)</f>
        <v>0</v>
      </c>
      <c r="P18" s="19" t="s">
        <v>218</v>
      </c>
      <c r="Q18" s="109">
        <f>'Study Data'!L$59</f>
        <v>4610.6705056980818</v>
      </c>
      <c r="R18" s="100">
        <v>1</v>
      </c>
      <c r="S18" s="13">
        <v>1</v>
      </c>
      <c r="T18" s="19" t="s">
        <v>224</v>
      </c>
      <c r="U18" s="19" t="s">
        <v>224</v>
      </c>
      <c r="V18" s="19" t="s">
        <v>224</v>
      </c>
      <c r="W18" s="13"/>
      <c r="X18" s="37">
        <f>Q18*H18*S18</f>
        <v>0</v>
      </c>
      <c r="Y18" s="23">
        <f>($K18*$O18*($R18)*$S18)</f>
        <v>0</v>
      </c>
      <c r="Z18" s="26">
        <f t="shared" si="17"/>
        <v>0</v>
      </c>
      <c r="AA18" s="23">
        <f>H18*(K18*S18+(1-K18)*W18)</f>
        <v>0</v>
      </c>
      <c r="AB18" s="40"/>
      <c r="AI18" s="121"/>
      <c r="AJ18" s="121"/>
    </row>
    <row r="19" spans="1:37" x14ac:dyDescent="0.25">
      <c r="A19" s="18" t="s">
        <v>115</v>
      </c>
      <c r="B19" s="19"/>
      <c r="C19" s="13">
        <v>6</v>
      </c>
      <c r="D19" s="13"/>
      <c r="E19" s="13">
        <v>10</v>
      </c>
      <c r="F19" s="13"/>
      <c r="G19" s="13"/>
      <c r="H19" s="13"/>
      <c r="I19" s="13"/>
      <c r="J19" s="13"/>
      <c r="K19" s="13">
        <v>17</v>
      </c>
      <c r="L19" s="13">
        <v>22</v>
      </c>
      <c r="M19" s="13">
        <v>22</v>
      </c>
      <c r="N19" s="13">
        <v>26</v>
      </c>
      <c r="O19" s="19"/>
      <c r="P19" s="19"/>
      <c r="Q19" s="38">
        <v>28</v>
      </c>
      <c r="R19" s="38">
        <v>30</v>
      </c>
      <c r="S19" s="19"/>
      <c r="T19" s="19"/>
      <c r="U19" s="12"/>
      <c r="V19" s="12"/>
      <c r="W19" s="19"/>
      <c r="X19" s="13">
        <v>34</v>
      </c>
      <c r="Y19" s="39">
        <v>34</v>
      </c>
      <c r="Z19" s="19"/>
      <c r="AA19" s="38"/>
      <c r="AB19" s="100"/>
      <c r="AI19" s="121"/>
      <c r="AJ19" s="121"/>
    </row>
    <row r="20" spans="1:37" ht="30" x14ac:dyDescent="0.25">
      <c r="A20" s="15" t="s">
        <v>106</v>
      </c>
      <c r="B20" s="16" t="s">
        <v>108</v>
      </c>
      <c r="C20" s="16">
        <f>'Facility Data'!B64</f>
        <v>29</v>
      </c>
      <c r="D20" s="15" t="s">
        <v>109</v>
      </c>
      <c r="E20" s="28">
        <f>2/12</f>
        <v>0.16666666666666666</v>
      </c>
      <c r="F20" s="23">
        <f t="shared" ref="F20:F23" si="19">C20*E20</f>
        <v>4.833333333333333</v>
      </c>
      <c r="G20" s="40">
        <v>0.2</v>
      </c>
      <c r="H20" s="23">
        <f t="shared" ref="H20:H23" si="20">F20*(1-G20)</f>
        <v>3.8666666666666667</v>
      </c>
      <c r="I20" s="28">
        <f>'Study Data'!D19</f>
        <v>6.28E-3</v>
      </c>
      <c r="J20" s="95">
        <f>H20*I20</f>
        <v>2.4282666666666668E-2</v>
      </c>
      <c r="K20" s="34">
        <v>1</v>
      </c>
      <c r="L20" s="15"/>
      <c r="M20" s="15"/>
      <c r="N20" s="32"/>
      <c r="O20" s="25">
        <f>J20</f>
        <v>2.4282666666666668E-2</v>
      </c>
      <c r="P20" s="19" t="s">
        <v>218</v>
      </c>
      <c r="Q20" s="109">
        <f>'Study Data'!M$59</f>
        <v>461.0670505698082</v>
      </c>
      <c r="R20" s="100">
        <v>1</v>
      </c>
      <c r="S20" s="13">
        <v>1</v>
      </c>
      <c r="T20" s="19" t="s">
        <v>224</v>
      </c>
      <c r="U20" s="19" t="s">
        <v>224</v>
      </c>
      <c r="V20" s="19" t="s">
        <v>224</v>
      </c>
      <c r="W20" s="19"/>
      <c r="X20" s="37">
        <f>Q20*H20*S20</f>
        <v>1782.7925955365918</v>
      </c>
      <c r="Y20" s="95">
        <f>($K20*$O20*($R20)*$S20)</f>
        <v>2.4282666666666668E-2</v>
      </c>
      <c r="Z20" s="26">
        <f t="shared" si="17"/>
        <v>0</v>
      </c>
      <c r="AA20" s="23">
        <f>H20*(K20*S20+(1-K20)*W20)</f>
        <v>3.8666666666666667</v>
      </c>
      <c r="AB20" s="40">
        <f>AA20/H20</f>
        <v>1</v>
      </c>
      <c r="AI20" s="121"/>
      <c r="AJ20" s="121"/>
    </row>
    <row r="21" spans="1:37" ht="30" x14ac:dyDescent="0.25">
      <c r="A21" s="15" t="s">
        <v>106</v>
      </c>
      <c r="B21" s="16" t="s">
        <v>108</v>
      </c>
      <c r="C21" s="16">
        <f>C20</f>
        <v>29</v>
      </c>
      <c r="D21" s="15" t="s">
        <v>110</v>
      </c>
      <c r="E21" s="29">
        <f>178/12</f>
        <v>14.833333333333334</v>
      </c>
      <c r="F21" s="23">
        <f t="shared" si="19"/>
        <v>430.16666666666669</v>
      </c>
      <c r="G21" s="40">
        <v>0.2</v>
      </c>
      <c r="H21" s="23">
        <f t="shared" si="20"/>
        <v>344.13333333333338</v>
      </c>
      <c r="I21" s="28">
        <f>'Study Data'!E38</f>
        <v>9.4408203753351211E-2</v>
      </c>
      <c r="J21" s="23">
        <f t="shared" ref="J21:J23" si="21">H21*I21</f>
        <v>32.489009851653265</v>
      </c>
      <c r="K21" s="34">
        <v>1</v>
      </c>
      <c r="L21" s="15"/>
      <c r="M21" s="15"/>
      <c r="N21" s="32"/>
      <c r="O21" s="26">
        <f t="shared" ref="O21" si="22">J21</f>
        <v>32.489009851653265</v>
      </c>
      <c r="P21" s="19" t="s">
        <v>218</v>
      </c>
      <c r="Q21" s="109">
        <f>'Study Data'!M$59</f>
        <v>461.0670505698082</v>
      </c>
      <c r="R21" s="100">
        <v>1</v>
      </c>
      <c r="S21" s="13">
        <v>1</v>
      </c>
      <c r="T21" s="19" t="s">
        <v>224</v>
      </c>
      <c r="U21" s="19" t="s">
        <v>224</v>
      </c>
      <c r="V21" s="19" t="s">
        <v>224</v>
      </c>
      <c r="W21" s="19"/>
      <c r="X21" s="37">
        <f>Q21*H21*S21</f>
        <v>158668.54100275668</v>
      </c>
      <c r="Y21" s="23">
        <f>($K21*$O21*($R21)*$S21)</f>
        <v>32.489009851653265</v>
      </c>
      <c r="Z21" s="26">
        <f t="shared" si="17"/>
        <v>0</v>
      </c>
      <c r="AA21" s="23">
        <f>H21*(K21*S21+(1-K21)*W21)</f>
        <v>344.13333333333338</v>
      </c>
      <c r="AB21" s="40">
        <f t="shared" ref="AB21:AB22" si="23">AA21/H21</f>
        <v>1</v>
      </c>
      <c r="AI21" s="121"/>
      <c r="AJ21" s="121"/>
    </row>
    <row r="22" spans="1:37" ht="30" x14ac:dyDescent="0.25">
      <c r="A22" s="15" t="s">
        <v>106</v>
      </c>
      <c r="B22" s="16" t="s">
        <v>108</v>
      </c>
      <c r="C22" s="16">
        <f t="shared" ref="C22:C23" si="24">C21</f>
        <v>29</v>
      </c>
      <c r="D22" s="15" t="s">
        <v>111</v>
      </c>
      <c r="E22" s="28">
        <f>5/12</f>
        <v>0.41666666666666669</v>
      </c>
      <c r="F22" s="23">
        <f t="shared" si="19"/>
        <v>12.083333333333334</v>
      </c>
      <c r="G22" s="40">
        <v>0.2</v>
      </c>
      <c r="H22" s="23">
        <f t="shared" si="20"/>
        <v>9.6666666666666679</v>
      </c>
      <c r="I22" s="15">
        <f>'Study Data'!B19</f>
        <v>8.3000000000000004E-2</v>
      </c>
      <c r="J22" s="95">
        <f t="shared" si="21"/>
        <v>0.80233333333333345</v>
      </c>
      <c r="K22" s="34">
        <v>1</v>
      </c>
      <c r="L22" s="30">
        <f>'Facility Data'!D112/'Facility Data'!B112</f>
        <v>0.20689655172413793</v>
      </c>
      <c r="M22" s="30">
        <f>'Facility Data'!C112/'Facility Data'!B112</f>
        <v>0.7931034482758621</v>
      </c>
      <c r="N22" s="32">
        <f>(0.05+0.2)/2</f>
        <v>0.125</v>
      </c>
      <c r="O22" s="25">
        <f>(J22*(1-(M22)))+(J22*(M22)*N22)+(J22*(M22)*(1-N22)*(6/'Study Data'!$B$75))</f>
        <v>0.33510600983020561</v>
      </c>
      <c r="P22" s="19" t="s">
        <v>218</v>
      </c>
      <c r="Q22" s="109">
        <f>'Study Data'!M$59</f>
        <v>461.0670505698082</v>
      </c>
      <c r="R22" s="100">
        <v>1</v>
      </c>
      <c r="S22" s="13">
        <v>1</v>
      </c>
      <c r="T22" s="19" t="s">
        <v>224</v>
      </c>
      <c r="U22" s="19" t="s">
        <v>224</v>
      </c>
      <c r="V22" s="19" t="s">
        <v>224</v>
      </c>
      <c r="W22" s="19"/>
      <c r="X22" s="37">
        <f>Q22*H22*S22</f>
        <v>4456.9814888414794</v>
      </c>
      <c r="Y22" s="95">
        <f>($K22*$O22*($R22)*$S22)</f>
        <v>0.33510600983020561</v>
      </c>
      <c r="Z22" s="26">
        <f t="shared" si="17"/>
        <v>0</v>
      </c>
      <c r="AA22" s="23">
        <f>H22*(K22*S22+(1-K22)*W22)</f>
        <v>9.6666666666666679</v>
      </c>
      <c r="AB22" s="40">
        <f t="shared" si="23"/>
        <v>1</v>
      </c>
      <c r="AI22" s="121"/>
      <c r="AJ22" s="121"/>
    </row>
    <row r="23" spans="1:37" ht="30" x14ac:dyDescent="0.25">
      <c r="A23" s="15" t="s">
        <v>106</v>
      </c>
      <c r="B23" s="16" t="s">
        <v>108</v>
      </c>
      <c r="C23" s="16">
        <f t="shared" si="24"/>
        <v>29</v>
      </c>
      <c r="D23" s="15" t="s">
        <v>206</v>
      </c>
      <c r="E23" s="15"/>
      <c r="F23" s="23">
        <f t="shared" si="19"/>
        <v>0</v>
      </c>
      <c r="G23" s="40">
        <v>0.2</v>
      </c>
      <c r="H23" s="23">
        <f t="shared" si="20"/>
        <v>0</v>
      </c>
      <c r="I23" s="15"/>
      <c r="J23" s="23">
        <f t="shared" si="21"/>
        <v>0</v>
      </c>
      <c r="K23" s="34">
        <v>1</v>
      </c>
      <c r="L23" s="15"/>
      <c r="M23" s="15"/>
      <c r="N23" s="32"/>
      <c r="O23" s="26">
        <f>J23</f>
        <v>0</v>
      </c>
      <c r="P23" s="19" t="s">
        <v>218</v>
      </c>
      <c r="Q23" s="109">
        <f>'Study Data'!M$59</f>
        <v>461.0670505698082</v>
      </c>
      <c r="R23" s="100">
        <v>1</v>
      </c>
      <c r="S23" s="13">
        <v>1</v>
      </c>
      <c r="T23" s="19" t="s">
        <v>224</v>
      </c>
      <c r="U23" s="19" t="s">
        <v>224</v>
      </c>
      <c r="V23" s="19" t="s">
        <v>224</v>
      </c>
      <c r="W23" s="19"/>
      <c r="X23" s="37">
        <f>Q23*H23*S23</f>
        <v>0</v>
      </c>
      <c r="Y23" s="23">
        <f>($K23*$O23*($R23)*$S23)</f>
        <v>0</v>
      </c>
      <c r="Z23" s="26">
        <f t="shared" si="17"/>
        <v>0</v>
      </c>
      <c r="AA23" s="23">
        <f>H23*(K23*S23+(1-K23)*W23)</f>
        <v>0</v>
      </c>
      <c r="AB23" s="40"/>
      <c r="AI23" s="121"/>
      <c r="AJ23" s="121"/>
    </row>
    <row r="24" spans="1:37" x14ac:dyDescent="0.25">
      <c r="A24" s="18" t="s">
        <v>115</v>
      </c>
      <c r="B24" s="19"/>
      <c r="C24" s="13" t="s">
        <v>323</v>
      </c>
      <c r="D24" s="13"/>
      <c r="E24" s="13">
        <v>11</v>
      </c>
      <c r="F24" s="13"/>
      <c r="G24" s="13"/>
      <c r="H24" s="13"/>
      <c r="I24" s="13" t="s">
        <v>326</v>
      </c>
      <c r="J24" s="13"/>
      <c r="K24" s="13">
        <v>17</v>
      </c>
      <c r="L24" s="13">
        <v>22</v>
      </c>
      <c r="M24" s="13">
        <v>22</v>
      </c>
      <c r="N24" s="13" t="s">
        <v>317</v>
      </c>
      <c r="O24" s="19"/>
      <c r="P24" s="19"/>
      <c r="Q24" s="13">
        <v>29</v>
      </c>
      <c r="R24" s="13">
        <v>30</v>
      </c>
      <c r="S24" s="2"/>
      <c r="T24" s="19"/>
      <c r="U24" s="56"/>
      <c r="V24" s="56"/>
      <c r="W24" s="2"/>
      <c r="X24" s="13">
        <v>34</v>
      </c>
      <c r="Y24" s="39">
        <v>34</v>
      </c>
      <c r="Z24" s="19"/>
      <c r="AA24" s="38"/>
      <c r="AB24" s="38"/>
      <c r="AI24" s="121"/>
      <c r="AJ24" s="121"/>
    </row>
    <row r="25" spans="1:37" x14ac:dyDescent="0.25">
      <c r="A25" s="49"/>
      <c r="B25" s="3"/>
      <c r="C25" s="50"/>
      <c r="D25" s="50"/>
      <c r="E25" s="50"/>
      <c r="F25" s="50"/>
      <c r="G25" s="50"/>
      <c r="H25" s="50"/>
      <c r="I25" s="51" t="s">
        <v>242</v>
      </c>
      <c r="J25" s="52">
        <f>SUM(J5:J23)</f>
        <v>9411.5763258945117</v>
      </c>
      <c r="K25" s="50"/>
      <c r="L25" s="50"/>
      <c r="M25" s="50"/>
      <c r="N25" s="51" t="s">
        <v>242</v>
      </c>
      <c r="O25" s="52">
        <f>SUM(O5:O23)</f>
        <v>9174.3870586500962</v>
      </c>
      <c r="P25" s="3"/>
      <c r="Q25" s="50"/>
      <c r="R25" s="50"/>
      <c r="S25" s="2"/>
      <c r="T25" s="3"/>
      <c r="U25" s="111"/>
      <c r="V25" s="111"/>
      <c r="W25" s="51" t="s">
        <v>243</v>
      </c>
      <c r="X25" s="57">
        <f>SUM(X5,X6,X7,X8,X10,X11,X12,X13,X15,X16,X17,X18,X20,X21,X22,X23)</f>
        <v>19130249.705924116</v>
      </c>
      <c r="Y25" s="55" t="s">
        <v>242</v>
      </c>
      <c r="Z25" s="52">
        <f>SUM(Z5:Z8,Z10:Z13,Z15:Z18,Z20:Z23)</f>
        <v>1605.2099397685549</v>
      </c>
      <c r="AA25" s="38"/>
      <c r="AB25" s="38"/>
      <c r="AI25" s="121"/>
      <c r="AJ25" s="121"/>
    </row>
    <row r="26" spans="1:37" x14ac:dyDescent="0.25">
      <c r="A26" s="49"/>
      <c r="B26" s="3"/>
      <c r="C26" s="50"/>
      <c r="D26" s="50"/>
      <c r="E26" s="50"/>
      <c r="F26" s="50"/>
      <c r="G26" s="50"/>
      <c r="H26" s="50"/>
      <c r="I26" s="50"/>
      <c r="J26" s="50"/>
      <c r="K26" s="50"/>
      <c r="L26" s="50"/>
      <c r="M26" s="50"/>
      <c r="N26" s="50"/>
      <c r="O26" s="3"/>
      <c r="P26" s="3"/>
      <c r="Q26" s="50"/>
      <c r="R26" s="50"/>
      <c r="S26" s="2"/>
      <c r="T26" s="3"/>
      <c r="W26" s="2"/>
      <c r="X26" s="50"/>
      <c r="Y26" s="53" t="s">
        <v>216</v>
      </c>
      <c r="Z26" s="54">
        <f>(O25-Z25)/O25</f>
        <v>0.82503354943422857</v>
      </c>
      <c r="AA26" s="53" t="s">
        <v>216</v>
      </c>
      <c r="AB26" s="99">
        <f>SUM(AA5:AA23)/SUM(H5:H23)</f>
        <v>0.88905325001695523</v>
      </c>
      <c r="AI26" s="121"/>
      <c r="AJ26" s="121"/>
    </row>
    <row r="27" spans="1:37" s="12" customFormat="1" x14ac:dyDescent="0.25">
      <c r="A27" s="14"/>
      <c r="E27" s="43"/>
      <c r="F27" s="50"/>
      <c r="G27" s="50"/>
      <c r="P27" s="263" t="s">
        <v>225</v>
      </c>
      <c r="Q27" s="264"/>
      <c r="R27" s="264"/>
      <c r="S27" s="265"/>
      <c r="T27" s="260" t="s">
        <v>227</v>
      </c>
      <c r="U27" s="261"/>
      <c r="V27" s="261"/>
      <c r="W27" s="262"/>
      <c r="X27" s="43"/>
      <c r="Y27" s="43"/>
      <c r="AD27" s="3"/>
      <c r="AE27" s="3"/>
      <c r="AF27" s="3"/>
      <c r="AG27" s="3"/>
      <c r="AH27" s="3"/>
      <c r="AI27" s="121"/>
      <c r="AJ27" s="121"/>
      <c r="AK27" s="3"/>
    </row>
    <row r="28" spans="1:37" s="44" customFormat="1" ht="75" customHeight="1" x14ac:dyDescent="0.25">
      <c r="A28" s="35" t="s">
        <v>102</v>
      </c>
      <c r="B28" s="35" t="s">
        <v>104</v>
      </c>
      <c r="C28" s="35" t="s">
        <v>112</v>
      </c>
      <c r="D28" s="35" t="s">
        <v>105</v>
      </c>
      <c r="E28" s="35" t="s">
        <v>114</v>
      </c>
      <c r="F28" s="35" t="str">
        <f>F4</f>
        <v>Total # Devices</v>
      </c>
      <c r="G28" s="35" t="s">
        <v>313</v>
      </c>
      <c r="H28" s="35" t="s">
        <v>314</v>
      </c>
      <c r="I28" s="35" t="s">
        <v>119</v>
      </c>
      <c r="J28" s="35" t="str">
        <f>J4</f>
        <v>Total Emissions Before Regulations (tpy VOC)</v>
      </c>
      <c r="K28" s="35" t="s">
        <v>201</v>
      </c>
      <c r="L28" s="35" t="s">
        <v>207</v>
      </c>
      <c r="M28" s="35" t="s">
        <v>208</v>
      </c>
      <c r="N28" s="35" t="s">
        <v>120</v>
      </c>
      <c r="O28" s="35" t="str">
        <f>O4</f>
        <v xml:space="preserve"> Emissions After NSPS Regulations (tpy VOC)</v>
      </c>
      <c r="P28" s="105" t="str">
        <f>P4</f>
        <v xml:space="preserve">Control Technology </v>
      </c>
      <c r="Q28" s="105" t="str">
        <f>U4</f>
        <v>Annual Cost per Site/Device</v>
      </c>
      <c r="R28" s="105" t="s">
        <v>265</v>
      </c>
      <c r="S28" s="105" t="str">
        <f>S4</f>
        <v>Choose this Control Option? 
1 = Yes, 0 = No</v>
      </c>
      <c r="T28" s="107" t="str">
        <f>T4</f>
        <v>Control Technology</v>
      </c>
      <c r="U28" s="107" t="s">
        <v>219</v>
      </c>
      <c r="V28" s="107" t="s">
        <v>265</v>
      </c>
      <c r="W28" s="107" t="str">
        <f t="shared" ref="W28:AB28" si="25">W4</f>
        <v>Choose this Control Option? 
1 = Yes, 0 = No</v>
      </c>
      <c r="X28" s="35" t="str">
        <f t="shared" si="25"/>
        <v>Total Cost for Control Tech - All Sites ($)</v>
      </c>
      <c r="Y28" s="35" t="str">
        <f t="shared" si="25"/>
        <v>Reduction in VOC Emissions Due to Control Choices (tpy)</v>
      </c>
      <c r="Z28" s="35" t="str">
        <f t="shared" si="25"/>
        <v>Emissions After Control Technology (tpy)</v>
      </c>
      <c r="AA28" s="35" t="str">
        <f t="shared" si="25"/>
        <v># of Non-Emitting Devices After NMAC Rule</v>
      </c>
      <c r="AB28" s="35" t="str">
        <f t="shared" si="25"/>
        <v>% Reduction in # of Emitting Devices After NMAC Rule</v>
      </c>
      <c r="AD28" s="122"/>
      <c r="AE28" s="122"/>
      <c r="AF28" s="122"/>
      <c r="AG28" s="122"/>
      <c r="AH28" s="122"/>
      <c r="AI28" s="121"/>
      <c r="AJ28" s="121"/>
      <c r="AK28" s="122"/>
    </row>
    <row r="29" spans="1:37" x14ac:dyDescent="0.25">
      <c r="A29" s="8" t="s">
        <v>113</v>
      </c>
      <c r="B29" s="8" t="str">
        <f>B5</f>
        <v>Wellhead/Tank Battery</v>
      </c>
      <c r="C29" s="22">
        <f>'Facility Data'!F11</f>
        <v>20448</v>
      </c>
      <c r="D29" s="8" t="s">
        <v>109</v>
      </c>
      <c r="E29" s="102">
        <v>2.5879339783722255</v>
      </c>
      <c r="F29" s="24">
        <f>C29*E29</f>
        <v>52918.07398975527</v>
      </c>
      <c r="G29" s="41">
        <v>0.2</v>
      </c>
      <c r="H29" s="24">
        <f>F29*(1-G29)</f>
        <v>42334.459191804221</v>
      </c>
      <c r="I29" s="17">
        <f>'Study Data'!E73</f>
        <v>0.06</v>
      </c>
      <c r="J29" s="24">
        <f t="shared" ref="J29:J47" si="26">H29*I29</f>
        <v>2540.067551508253</v>
      </c>
      <c r="K29" s="9">
        <f>K5</f>
        <v>0.109</v>
      </c>
      <c r="L29" s="31"/>
      <c r="M29" s="31"/>
      <c r="N29" s="45"/>
      <c r="O29" s="45">
        <f>J29</f>
        <v>2540.067551508253</v>
      </c>
      <c r="P29" s="19" t="s">
        <v>218</v>
      </c>
      <c r="Q29" s="109">
        <f>'Study Data'!M$59</f>
        <v>461.0670505698082</v>
      </c>
      <c r="R29" s="100">
        <v>1</v>
      </c>
      <c r="S29" s="13">
        <v>1</v>
      </c>
      <c r="T29" s="19" t="s">
        <v>229</v>
      </c>
      <c r="U29" s="109">
        <f>'Study Data'!H110</f>
        <v>854.97886988254845</v>
      </c>
      <c r="V29" s="100">
        <v>1</v>
      </c>
      <c r="W29" s="13">
        <v>1</v>
      </c>
      <c r="X29" s="7">
        <f>($H29*$K29*$Q29*$S29)+($H29*(1-$K29)*$U29*$W29)</f>
        <v>34377379.298352398</v>
      </c>
      <c r="Y29" s="24">
        <f>($K29*$O29*($R29)*$S29)+((1-$K29)*$O29*($V29)*$W29)</f>
        <v>2540.067551508253</v>
      </c>
      <c r="Z29" s="45">
        <f>O29-Y29</f>
        <v>0</v>
      </c>
      <c r="AA29" s="24">
        <f>H29*(K29*S29+(1-K29)*W29)</f>
        <v>42334.459191804221</v>
      </c>
      <c r="AB29" s="41">
        <f>AA29/H29</f>
        <v>1</v>
      </c>
      <c r="AI29" s="121"/>
      <c r="AJ29" s="121"/>
    </row>
    <row r="30" spans="1:37" x14ac:dyDescent="0.25">
      <c r="A30" s="8" t="s">
        <v>113</v>
      </c>
      <c r="B30" s="8" t="str">
        <f>B6</f>
        <v>Wellhead/Tank Battery</v>
      </c>
      <c r="C30" s="22">
        <f>C29</f>
        <v>20448</v>
      </c>
      <c r="D30" s="8" t="s">
        <v>110</v>
      </c>
      <c r="E30" s="102">
        <v>2.3553405425915388</v>
      </c>
      <c r="F30" s="24">
        <f t="shared" ref="F30:F31" si="27">C30*E30</f>
        <v>48162.003414911786</v>
      </c>
      <c r="G30" s="41">
        <v>0.2</v>
      </c>
      <c r="H30" s="24">
        <f t="shared" ref="H30:H32" si="28">F30*(1-G30)</f>
        <v>38529.60273192943</v>
      </c>
      <c r="I30" s="17">
        <f>'Study Data'!F124</f>
        <v>0.53326809651474538</v>
      </c>
      <c r="J30" s="24">
        <f t="shared" si="26"/>
        <v>20546.607908325339</v>
      </c>
      <c r="K30" s="9">
        <f>K6</f>
        <v>0.109</v>
      </c>
      <c r="L30" s="31"/>
      <c r="M30" s="31"/>
      <c r="N30" s="9"/>
      <c r="O30" s="45">
        <f>J30</f>
        <v>20546.607908325339</v>
      </c>
      <c r="P30" s="19" t="s">
        <v>218</v>
      </c>
      <c r="Q30" s="109">
        <f>'Study Data'!M$59</f>
        <v>461.0670505698082</v>
      </c>
      <c r="R30" s="100">
        <v>1</v>
      </c>
      <c r="S30" s="13">
        <v>1</v>
      </c>
      <c r="T30" s="19" t="s">
        <v>229</v>
      </c>
      <c r="U30" s="109">
        <f>'Study Data'!H110</f>
        <v>854.97886988254845</v>
      </c>
      <c r="V30" s="100">
        <v>1</v>
      </c>
      <c r="W30" s="13">
        <v>1</v>
      </c>
      <c r="X30" s="7">
        <f>($H30*$K30*$Q30*$S30)+($H30*(1-$K30)*$U30*$W30)</f>
        <v>31287674.216629647</v>
      </c>
      <c r="Y30" s="24">
        <f>($K30*$O30*($R30)*$S30)+((1-$K30)*$O30*($V30)*$W30)</f>
        <v>20546.607908325339</v>
      </c>
      <c r="Z30" s="45">
        <f t="shared" ref="Z30:Z32" si="29">O30-Y30</f>
        <v>0</v>
      </c>
      <c r="AA30" s="24">
        <f>H30*(K30*S30+(1-K30)*W30)</f>
        <v>38529.60273192943</v>
      </c>
      <c r="AB30" s="41">
        <f t="shared" ref="AB30:AB32" si="30">AA30/H30</f>
        <v>1</v>
      </c>
      <c r="AI30" s="121"/>
      <c r="AJ30" s="121"/>
    </row>
    <row r="31" spans="1:37" x14ac:dyDescent="0.25">
      <c r="A31" s="8" t="s">
        <v>113</v>
      </c>
      <c r="B31" s="8" t="str">
        <f>B7</f>
        <v>Wellhead/Tank Battery</v>
      </c>
      <c r="C31" s="22">
        <f>C30</f>
        <v>20448</v>
      </c>
      <c r="D31" s="8" t="s">
        <v>111</v>
      </c>
      <c r="E31" s="102">
        <v>1.8402580155568202E-2</v>
      </c>
      <c r="F31" s="24">
        <f t="shared" si="27"/>
        <v>376.29595902105859</v>
      </c>
      <c r="G31" s="41">
        <v>0.2</v>
      </c>
      <c r="H31" s="24">
        <f t="shared" si="28"/>
        <v>301.0367672168469</v>
      </c>
      <c r="I31" s="17">
        <f>'Study Data'!C73</f>
        <v>1.4734</v>
      </c>
      <c r="J31" s="24">
        <f t="shared" si="26"/>
        <v>443.54757281730224</v>
      </c>
      <c r="K31" s="9">
        <f>K7</f>
        <v>0.109</v>
      </c>
      <c r="L31" s="31">
        <f>'Facility Data'!O$11</f>
        <v>2.9587245696400626E-2</v>
      </c>
      <c r="M31" s="31">
        <f>'Facility Data'!P$11</f>
        <v>1.2568466353677621E-2</v>
      </c>
      <c r="N31" s="9">
        <f>(0.05+0.2)/2</f>
        <v>0.125</v>
      </c>
      <c r="O31" s="45">
        <f>(J31*(1-(L31+M31)))+(J31*(L31+M31)*N31)+(J31*(L31+M31)*(1-N31)*(6/'Study Data'!$B$75))</f>
        <v>429.81853203359168</v>
      </c>
      <c r="P31" s="19" t="s">
        <v>218</v>
      </c>
      <c r="Q31" s="109">
        <f>'Study Data'!M$59</f>
        <v>461.0670505698082</v>
      </c>
      <c r="R31" s="100">
        <v>1</v>
      </c>
      <c r="S31" s="13">
        <v>1</v>
      </c>
      <c r="T31" s="19" t="str">
        <f>T30</f>
        <v>Solar electric controller</v>
      </c>
      <c r="U31" s="109">
        <f>U30</f>
        <v>854.97886988254845</v>
      </c>
      <c r="V31" s="100">
        <f>V30</f>
        <v>1</v>
      </c>
      <c r="W31" s="13">
        <v>0</v>
      </c>
      <c r="X31" s="7">
        <f>($H31*$K31*$Q31*$S31)+($H31*(1-$K31)*$U31*$W31)</f>
        <v>15128.996646737827</v>
      </c>
      <c r="Y31" s="24">
        <f>($K31*$O31*($R31)*$S31)+((1-$K31)*$O31*($V31)*$W31)</f>
        <v>46.85021999166149</v>
      </c>
      <c r="Z31" s="45">
        <f t="shared" si="29"/>
        <v>382.96831204193018</v>
      </c>
      <c r="AA31" s="24">
        <f>H31*(K31*S31+(1-K31)*W31)</f>
        <v>32.813007626636313</v>
      </c>
      <c r="AB31" s="41">
        <f t="shared" si="30"/>
        <v>0.109</v>
      </c>
      <c r="AI31" s="121"/>
      <c r="AJ31" s="121"/>
    </row>
    <row r="32" spans="1:37" x14ac:dyDescent="0.25">
      <c r="A32" s="8" t="s">
        <v>113</v>
      </c>
      <c r="B32" s="8" t="str">
        <f>B8</f>
        <v>Wellhead/Tank Battery</v>
      </c>
      <c r="C32" s="22">
        <f>C31</f>
        <v>20448</v>
      </c>
      <c r="D32" s="8" t="s">
        <v>206</v>
      </c>
      <c r="E32" s="102">
        <v>1.7738569531398216E-2</v>
      </c>
      <c r="F32" s="24">
        <f>C32*E32</f>
        <v>362.71826977803073</v>
      </c>
      <c r="G32" s="41">
        <v>0.2</v>
      </c>
      <c r="H32" s="24">
        <f t="shared" si="28"/>
        <v>290.17461582242458</v>
      </c>
      <c r="I32" s="17">
        <f>'Study Data'!F125</f>
        <v>0.5253678284182306</v>
      </c>
      <c r="J32" s="24">
        <f t="shared" si="26"/>
        <v>152.44840777672155</v>
      </c>
      <c r="K32" s="9">
        <f>K8</f>
        <v>0.109</v>
      </c>
      <c r="L32" s="8"/>
      <c r="M32" s="31">
        <f>M31</f>
        <v>1.2568466353677621E-2</v>
      </c>
      <c r="N32" s="9"/>
      <c r="O32" s="45">
        <f>J32*(1-M32)+J32*M32*0.05</f>
        <v>150.62816722709877</v>
      </c>
      <c r="P32" s="19" t="s">
        <v>218</v>
      </c>
      <c r="Q32" s="109">
        <f>'Study Data'!M$59</f>
        <v>461.0670505698082</v>
      </c>
      <c r="R32" s="100">
        <v>1</v>
      </c>
      <c r="S32" s="13">
        <v>1</v>
      </c>
      <c r="T32" s="19" t="s">
        <v>222</v>
      </c>
      <c r="U32" s="109">
        <f>'Study Data'!E46</f>
        <v>525.61933918003331</v>
      </c>
      <c r="V32" s="100">
        <v>1</v>
      </c>
      <c r="W32" s="13">
        <v>0</v>
      </c>
      <c r="X32" s="7">
        <f>($H32*$K32*$Q32*$S32)+($H32*(1-$K32)*$U32*$W32)</f>
        <v>14583.105015154502</v>
      </c>
      <c r="Y32" s="24">
        <f>($K32*$O32*($R32)*$S32)+((1-$K32)*$O32*($V32)*$W32)</f>
        <v>16.418470227753765</v>
      </c>
      <c r="Z32" s="45">
        <f t="shared" si="29"/>
        <v>134.209696999345</v>
      </c>
      <c r="AA32" s="24">
        <f>H32*(K32*S32+(1-K32)*W32)</f>
        <v>31.62903312464428</v>
      </c>
      <c r="AB32" s="41">
        <f t="shared" si="30"/>
        <v>0.109</v>
      </c>
      <c r="AI32" s="121"/>
      <c r="AJ32" s="121"/>
    </row>
    <row r="33" spans="1:36" x14ac:dyDescent="0.25">
      <c r="A33" s="18" t="s">
        <v>115</v>
      </c>
      <c r="B33" s="13">
        <v>1</v>
      </c>
      <c r="C33" s="13" t="s">
        <v>315</v>
      </c>
      <c r="D33" s="13"/>
      <c r="E33" s="13">
        <v>8</v>
      </c>
      <c r="F33" s="13"/>
      <c r="G33" s="13"/>
      <c r="H33" s="13"/>
      <c r="I33" s="141" t="s">
        <v>324</v>
      </c>
      <c r="J33" s="38"/>
      <c r="K33" s="13">
        <v>16</v>
      </c>
      <c r="L33" s="13" t="s">
        <v>316</v>
      </c>
      <c r="M33" s="13" t="s">
        <v>316</v>
      </c>
      <c r="N33" s="13" t="s">
        <v>317</v>
      </c>
      <c r="O33" s="46"/>
      <c r="P33" s="19"/>
      <c r="Q33" s="13">
        <v>27</v>
      </c>
      <c r="R33" s="13">
        <v>30</v>
      </c>
      <c r="S33" s="19"/>
      <c r="T33" s="19"/>
      <c r="U33" s="39" t="s">
        <v>318</v>
      </c>
      <c r="V33" s="39">
        <v>30</v>
      </c>
      <c r="W33" s="19"/>
      <c r="X33" s="13">
        <v>34</v>
      </c>
      <c r="Y33" s="39">
        <v>34</v>
      </c>
      <c r="Z33" s="13">
        <v>35</v>
      </c>
      <c r="AA33" s="13"/>
      <c r="AB33" s="100"/>
      <c r="AI33" s="121"/>
      <c r="AJ33" s="121"/>
    </row>
    <row r="34" spans="1:36" x14ac:dyDescent="0.25">
      <c r="A34" s="8" t="s">
        <v>113</v>
      </c>
      <c r="B34" s="8" t="s">
        <v>107</v>
      </c>
      <c r="C34" s="8">
        <f>ROUND(SUM('Facility Data'!C66:G66)+'Facility Data'!H65/2,0)</f>
        <v>345</v>
      </c>
      <c r="D34" s="8" t="s">
        <v>109</v>
      </c>
      <c r="E34" s="102">
        <v>2.5499999999999998</v>
      </c>
      <c r="F34" s="24">
        <f t="shared" ref="F34:F37" si="31">C34*E34</f>
        <v>879.74999999999989</v>
      </c>
      <c r="G34" s="41">
        <v>0.2</v>
      </c>
      <c r="H34" s="24">
        <f t="shared" ref="H34:H37" si="32">F34*(1-G34)</f>
        <v>703.8</v>
      </c>
      <c r="I34" s="17">
        <f>'Study Data'!F122</f>
        <v>5.4906863270777477E-2</v>
      </c>
      <c r="J34" s="24">
        <f t="shared" si="26"/>
        <v>38.643450369973188</v>
      </c>
      <c r="K34" s="9">
        <f>K10</f>
        <v>3.9E-2</v>
      </c>
      <c r="L34" s="8"/>
      <c r="M34" s="8"/>
      <c r="N34" s="9"/>
      <c r="O34" s="45">
        <f>J34</f>
        <v>38.643450369973188</v>
      </c>
      <c r="P34" s="19" t="s">
        <v>218</v>
      </c>
      <c r="Q34" s="109">
        <f>'Study Data'!M$59</f>
        <v>461.0670505698082</v>
      </c>
      <c r="R34" s="100">
        <v>1</v>
      </c>
      <c r="S34" s="13">
        <v>1</v>
      </c>
      <c r="T34" s="19" t="s">
        <v>229</v>
      </c>
      <c r="U34" s="109">
        <f>'Study Data'!H110</f>
        <v>854.97886988254845</v>
      </c>
      <c r="V34" s="100">
        <v>1</v>
      </c>
      <c r="W34" s="13">
        <v>1</v>
      </c>
      <c r="X34" s="7">
        <f>($H34*$K34*$Q34*$S34)+($H34*(1-$K34)*$U34*$W34)</f>
        <v>590921.9582244776</v>
      </c>
      <c r="Y34" s="24">
        <f>($K34*$O34*($R34)*$S34)+((1-$K34)*$O34*($V34)*$W34)</f>
        <v>38.643450369973188</v>
      </c>
      <c r="Z34" s="45">
        <f>O34-Y34</f>
        <v>0</v>
      </c>
      <c r="AA34" s="24">
        <f>H34*(K34*S34+(1-K34)*W34)</f>
        <v>703.8</v>
      </c>
      <c r="AB34" s="41">
        <f>AA34/H34</f>
        <v>1</v>
      </c>
      <c r="AI34" s="121"/>
      <c r="AJ34" s="121"/>
    </row>
    <row r="35" spans="1:36" x14ac:dyDescent="0.25">
      <c r="A35" s="8" t="s">
        <v>113</v>
      </c>
      <c r="B35" s="8" t="s">
        <v>107</v>
      </c>
      <c r="C35" s="8">
        <f>C34</f>
        <v>345</v>
      </c>
      <c r="D35" s="8" t="s">
        <v>110</v>
      </c>
      <c r="E35" s="102">
        <v>8.045454545454545</v>
      </c>
      <c r="F35" s="24">
        <f t="shared" si="31"/>
        <v>2775.681818181818</v>
      </c>
      <c r="G35" s="41">
        <v>0.2</v>
      </c>
      <c r="H35" s="24">
        <f t="shared" si="32"/>
        <v>2220.5454545454545</v>
      </c>
      <c r="I35" s="17">
        <f>'Study Data'!F124</f>
        <v>0.53326809651474538</v>
      </c>
      <c r="J35" s="24">
        <f t="shared" si="26"/>
        <v>1184.1460477699245</v>
      </c>
      <c r="K35" s="9">
        <f>K11</f>
        <v>3.9E-2</v>
      </c>
      <c r="L35" s="8"/>
      <c r="M35" s="8"/>
      <c r="N35" s="9"/>
      <c r="O35" s="45">
        <f>J35</f>
        <v>1184.1460477699245</v>
      </c>
      <c r="P35" s="19" t="s">
        <v>218</v>
      </c>
      <c r="Q35" s="109">
        <f>'Study Data'!M$59</f>
        <v>461.0670505698082</v>
      </c>
      <c r="R35" s="100">
        <v>1</v>
      </c>
      <c r="S35" s="13">
        <v>1</v>
      </c>
      <c r="T35" s="19" t="s">
        <v>229</v>
      </c>
      <c r="U35" s="109">
        <f>'Study Data'!H110</f>
        <v>854.97886988254845</v>
      </c>
      <c r="V35" s="100">
        <v>1</v>
      </c>
      <c r="W35" s="13">
        <v>0</v>
      </c>
      <c r="X35" s="7">
        <f>($H35*$K35*$Q35*$S35)+($H35*(1-$K35)*$U35*$W35)</f>
        <v>39928.993391955206</v>
      </c>
      <c r="Y35" s="24">
        <f>($K35*$O35*($R35)*$S35)+((1-$K35)*$O35*($V35)*$W35)</f>
        <v>46.181695863027059</v>
      </c>
      <c r="Z35" s="45">
        <f t="shared" ref="Z35:Z37" si="33">O35-Y35</f>
        <v>1137.9643519068975</v>
      </c>
      <c r="AA35" s="24">
        <f>H35*(K35*S35+(1-K35)*W35)</f>
        <v>86.601272727272729</v>
      </c>
      <c r="AB35" s="41">
        <f t="shared" ref="AB35:AB36" si="34">AA35/H35</f>
        <v>3.9E-2</v>
      </c>
      <c r="AI35" s="121"/>
      <c r="AJ35" s="121"/>
    </row>
    <row r="36" spans="1:36" x14ac:dyDescent="0.25">
      <c r="A36" s="8" t="s">
        <v>113</v>
      </c>
      <c r="B36" s="8" t="s">
        <v>107</v>
      </c>
      <c r="C36" s="8">
        <f t="shared" ref="C36" si="35">C35</f>
        <v>345</v>
      </c>
      <c r="D36" s="8" t="s">
        <v>111</v>
      </c>
      <c r="E36" s="102">
        <v>1.2045454545454546</v>
      </c>
      <c r="F36" s="24">
        <f t="shared" si="31"/>
        <v>415.56818181818181</v>
      </c>
      <c r="G36" s="41">
        <v>0.2</v>
      </c>
      <c r="H36" s="24">
        <f t="shared" si="32"/>
        <v>332.4545454545455</v>
      </c>
      <c r="I36" s="17">
        <f>'Study Data'!F123</f>
        <v>1.4734</v>
      </c>
      <c r="J36" s="24">
        <f t="shared" si="26"/>
        <v>489.83852727272733</v>
      </c>
      <c r="K36" s="9">
        <f>K12</f>
        <v>3.9E-2</v>
      </c>
      <c r="L36" s="31">
        <f>'Facility Data'!B155</f>
        <v>4.041827975088369E-2</v>
      </c>
      <c r="M36" s="31">
        <f>'Facility Data'!C155</f>
        <v>0.16192560175054704</v>
      </c>
      <c r="N36" s="9">
        <f>(0.05+0.2)/2</f>
        <v>0.125</v>
      </c>
      <c r="O36" s="45">
        <f>(J36*(1-(L36+M36)))+(J36*(L36+M36)*N36)+(J36*(L36+M36)*(1-N36)*(6/'Study Data'!$B$75))</f>
        <v>417.06279632171459</v>
      </c>
      <c r="P36" s="19" t="s">
        <v>218</v>
      </c>
      <c r="Q36" s="109">
        <f>'Study Data'!M$59</f>
        <v>461.0670505698082</v>
      </c>
      <c r="R36" s="100">
        <v>1</v>
      </c>
      <c r="S36" s="13">
        <v>1</v>
      </c>
      <c r="T36" s="19" t="str">
        <f>T35</f>
        <v>Solar electric controller</v>
      </c>
      <c r="U36" s="109">
        <f>U35</f>
        <v>854.97886988254845</v>
      </c>
      <c r="V36" s="100">
        <f>V35</f>
        <v>1</v>
      </c>
      <c r="W36" s="13">
        <v>1</v>
      </c>
      <c r="X36" s="7">
        <f>($H36*$K36*$Q36*$S36)+($H36*(1-$K36)*$U36*$W36)</f>
        <v>279134.2583413308</v>
      </c>
      <c r="Y36" s="24">
        <f>($K36*$O36*($R36)*$S36)+((1-$K36)*$O36*($V36)*$W36)</f>
        <v>417.06279632171459</v>
      </c>
      <c r="Z36" s="45">
        <f t="shared" si="33"/>
        <v>0</v>
      </c>
      <c r="AA36" s="24">
        <f>H36*(K36*S36+(1-K36)*W36)</f>
        <v>332.4545454545455</v>
      </c>
      <c r="AB36" s="41">
        <f t="shared" si="34"/>
        <v>1</v>
      </c>
      <c r="AI36" s="121"/>
      <c r="AJ36" s="121"/>
    </row>
    <row r="37" spans="1:36" x14ac:dyDescent="0.25">
      <c r="A37" s="8" t="s">
        <v>113</v>
      </c>
      <c r="B37" s="8" t="s">
        <v>107</v>
      </c>
      <c r="C37" s="8">
        <f>C36</f>
        <v>345</v>
      </c>
      <c r="D37" s="8" t="s">
        <v>206</v>
      </c>
      <c r="E37" s="102">
        <v>0.5636363636363636</v>
      </c>
      <c r="F37" s="24">
        <f t="shared" si="31"/>
        <v>194.45454545454544</v>
      </c>
      <c r="G37" s="41">
        <v>0.2</v>
      </c>
      <c r="H37" s="24">
        <f t="shared" si="32"/>
        <v>155.56363636363636</v>
      </c>
      <c r="I37" s="17">
        <f>'Study Data'!F125</f>
        <v>0.5253678284182306</v>
      </c>
      <c r="J37" s="24">
        <f t="shared" si="26"/>
        <v>81.72812981720692</v>
      </c>
      <c r="K37" s="9">
        <f>K13</f>
        <v>3.9E-2</v>
      </c>
      <c r="L37" s="8"/>
      <c r="M37" s="8"/>
      <c r="N37" s="9"/>
      <c r="O37" s="45">
        <f>J37</f>
        <v>81.72812981720692</v>
      </c>
      <c r="P37" s="19" t="s">
        <v>218</v>
      </c>
      <c r="Q37" s="109">
        <f>'Study Data'!M$59</f>
        <v>461.0670505698082</v>
      </c>
      <c r="R37" s="100">
        <v>1</v>
      </c>
      <c r="S37" s="13">
        <v>1</v>
      </c>
      <c r="T37" s="19" t="s">
        <v>222</v>
      </c>
      <c r="U37" s="109">
        <f>'Study Data'!E46</f>
        <v>525.61933918003331</v>
      </c>
      <c r="V37" s="100">
        <v>1</v>
      </c>
      <c r="W37" s="13">
        <v>1</v>
      </c>
      <c r="X37" s="7">
        <f>($H37*$K37*$Q37*$S37)+($H37*(1-$K37)*$U37*$W37)</f>
        <v>81375.618184577281</v>
      </c>
      <c r="Y37" s="24">
        <f>($K37*$O37*($R37)*$S37)+((1-$K37)*$O37*($V37)*$W37)</f>
        <v>81.72812981720692</v>
      </c>
      <c r="Z37" s="45">
        <f t="shared" si="33"/>
        <v>0</v>
      </c>
      <c r="AA37" s="24">
        <f>H37*(K37*S37+(1-K37)*W37)</f>
        <v>155.56363636363636</v>
      </c>
      <c r="AB37" s="41"/>
      <c r="AI37" s="121"/>
      <c r="AJ37" s="121"/>
    </row>
    <row r="38" spans="1:36" x14ac:dyDescent="0.25">
      <c r="A38" s="18" t="s">
        <v>115</v>
      </c>
      <c r="B38" s="19"/>
      <c r="C38" s="13" t="s">
        <v>322</v>
      </c>
      <c r="D38" s="13"/>
      <c r="E38" s="13">
        <v>9</v>
      </c>
      <c r="F38" s="13"/>
      <c r="G38" s="13"/>
      <c r="H38" s="13"/>
      <c r="I38" s="141" t="s">
        <v>325</v>
      </c>
      <c r="J38" s="38"/>
      <c r="K38" s="13">
        <v>16</v>
      </c>
      <c r="L38" s="13">
        <v>22</v>
      </c>
      <c r="M38" s="13">
        <v>22</v>
      </c>
      <c r="N38" s="13" t="s">
        <v>317</v>
      </c>
      <c r="O38" s="46"/>
      <c r="P38" s="19"/>
      <c r="Q38" s="13">
        <v>27</v>
      </c>
      <c r="R38" s="13">
        <v>30</v>
      </c>
      <c r="S38" s="19"/>
      <c r="T38" s="19"/>
      <c r="U38" s="39" t="s">
        <v>318</v>
      </c>
      <c r="V38" s="39">
        <v>30</v>
      </c>
      <c r="W38" s="19"/>
      <c r="X38" s="13">
        <v>34</v>
      </c>
      <c r="Y38" s="39">
        <v>34</v>
      </c>
      <c r="Z38" s="13">
        <v>35</v>
      </c>
      <c r="AA38" s="13"/>
      <c r="AB38" s="100"/>
      <c r="AI38" s="121"/>
      <c r="AJ38" s="121"/>
    </row>
    <row r="39" spans="1:36" x14ac:dyDescent="0.25">
      <c r="A39" s="8" t="s">
        <v>113</v>
      </c>
      <c r="B39" s="8" t="s">
        <v>30</v>
      </c>
      <c r="C39" s="22">
        <f>'Facility Data'!D25+'Facility Data'!D26</f>
        <v>8</v>
      </c>
      <c r="D39" s="8" t="s">
        <v>109</v>
      </c>
      <c r="E39" s="8">
        <v>0</v>
      </c>
      <c r="F39" s="24">
        <f t="shared" ref="F39:F42" si="36">C39*E39</f>
        <v>0</v>
      </c>
      <c r="G39" s="41">
        <v>1</v>
      </c>
      <c r="H39" s="24">
        <f t="shared" ref="H39:H42" si="37">F39*(1-G39)</f>
        <v>0</v>
      </c>
      <c r="I39" s="17"/>
      <c r="J39" s="24">
        <f t="shared" si="26"/>
        <v>0</v>
      </c>
      <c r="K39" s="9">
        <v>1</v>
      </c>
      <c r="L39" s="33">
        <f>'Facility Data'!V119/'Facility Data'!T119</f>
        <v>0.25</v>
      </c>
      <c r="M39" s="9">
        <f>'Facility Data'!U119/'Facility Data'!T119</f>
        <v>0.625</v>
      </c>
      <c r="N39" s="9"/>
      <c r="O39" s="45">
        <f t="shared" ref="O39:O40" si="38">J39</f>
        <v>0</v>
      </c>
      <c r="P39" s="19" t="s">
        <v>218</v>
      </c>
      <c r="Q39" s="109">
        <f>'Study Data'!L$59</f>
        <v>4610.6705056980818</v>
      </c>
      <c r="R39" s="100">
        <v>1</v>
      </c>
      <c r="S39" s="13">
        <v>1</v>
      </c>
      <c r="T39" s="19" t="s">
        <v>224</v>
      </c>
      <c r="U39" s="19" t="s">
        <v>224</v>
      </c>
      <c r="V39" s="19" t="s">
        <v>224</v>
      </c>
      <c r="W39" s="13"/>
      <c r="X39" s="7">
        <f>Q39*H39*S39</f>
        <v>0</v>
      </c>
      <c r="Y39" s="24">
        <f>($K39*$O39*($R39)*$S39)</f>
        <v>0</v>
      </c>
      <c r="Z39" s="45">
        <f>O39-Y39</f>
        <v>0</v>
      </c>
      <c r="AA39" s="24">
        <f>H39*(K39*S39+(1-K39)*W39)</f>
        <v>0</v>
      </c>
      <c r="AB39" s="41"/>
      <c r="AI39" s="121"/>
      <c r="AJ39" s="121"/>
    </row>
    <row r="40" spans="1:36" x14ac:dyDescent="0.25">
      <c r="A40" s="8" t="s">
        <v>113</v>
      </c>
      <c r="B40" s="8" t="s">
        <v>30</v>
      </c>
      <c r="C40" s="22">
        <f>C39</f>
        <v>8</v>
      </c>
      <c r="D40" s="8" t="s">
        <v>110</v>
      </c>
      <c r="E40" s="8">
        <v>0</v>
      </c>
      <c r="F40" s="24">
        <f t="shared" si="36"/>
        <v>0</v>
      </c>
      <c r="G40" s="41">
        <v>1</v>
      </c>
      <c r="H40" s="24">
        <f t="shared" si="37"/>
        <v>0</v>
      </c>
      <c r="I40" s="17"/>
      <c r="J40" s="24">
        <f>H40*I40</f>
        <v>0</v>
      </c>
      <c r="K40" s="9">
        <v>1</v>
      </c>
      <c r="L40" s="8"/>
      <c r="M40" s="8"/>
      <c r="N40" s="9"/>
      <c r="O40" s="45">
        <f t="shared" si="38"/>
        <v>0</v>
      </c>
      <c r="P40" s="19" t="s">
        <v>218</v>
      </c>
      <c r="Q40" s="109">
        <f>'Study Data'!L$59</f>
        <v>4610.6705056980818</v>
      </c>
      <c r="R40" s="100">
        <v>1</v>
      </c>
      <c r="S40" s="13">
        <v>1</v>
      </c>
      <c r="T40" s="19" t="s">
        <v>224</v>
      </c>
      <c r="U40" s="19" t="s">
        <v>224</v>
      </c>
      <c r="V40" s="19" t="s">
        <v>224</v>
      </c>
      <c r="W40" s="13"/>
      <c r="X40" s="7">
        <f>Q40*H40*S40</f>
        <v>0</v>
      </c>
      <c r="Y40" s="24">
        <f>($K40*$O40*($R40)*$S40)</f>
        <v>0</v>
      </c>
      <c r="Z40" s="45">
        <f t="shared" ref="Z40:Z42" si="39">O40-Y40</f>
        <v>0</v>
      </c>
      <c r="AA40" s="24">
        <f>H40*(K40*S40+(1-K40)*W40)</f>
        <v>0</v>
      </c>
      <c r="AB40" s="41"/>
      <c r="AI40" s="121"/>
      <c r="AJ40" s="121"/>
    </row>
    <row r="41" spans="1:36" x14ac:dyDescent="0.25">
      <c r="A41" s="8" t="s">
        <v>113</v>
      </c>
      <c r="B41" s="8" t="s">
        <v>30</v>
      </c>
      <c r="C41" s="22">
        <f>C40</f>
        <v>8</v>
      </c>
      <c r="D41" s="8" t="s">
        <v>111</v>
      </c>
      <c r="E41" s="8">
        <v>0</v>
      </c>
      <c r="F41" s="24">
        <f t="shared" si="36"/>
        <v>0</v>
      </c>
      <c r="G41" s="41">
        <v>1</v>
      </c>
      <c r="H41" s="24">
        <f t="shared" si="37"/>
        <v>0</v>
      </c>
      <c r="I41" s="17"/>
      <c r="J41" s="24">
        <f>H41*I41</f>
        <v>0</v>
      </c>
      <c r="K41" s="9">
        <v>1</v>
      </c>
      <c r="L41" s="33">
        <f>L39</f>
        <v>0.25</v>
      </c>
      <c r="M41" s="33">
        <f>M39</f>
        <v>0.625</v>
      </c>
      <c r="N41" s="9">
        <f>(0.05+0.2)/2</f>
        <v>0.125</v>
      </c>
      <c r="O41" s="45">
        <f>(J41*(1-(L41+M41)))+(J41*(L41+M41)*N41)+(J41*(L41+M41)*(1-N41)*(0))</f>
        <v>0</v>
      </c>
      <c r="P41" s="19" t="s">
        <v>218</v>
      </c>
      <c r="Q41" s="109">
        <f>'Study Data'!L$59</f>
        <v>4610.6705056980818</v>
      </c>
      <c r="R41" s="100">
        <v>1</v>
      </c>
      <c r="S41" s="13">
        <v>1</v>
      </c>
      <c r="T41" s="19" t="s">
        <v>224</v>
      </c>
      <c r="U41" s="19" t="s">
        <v>224</v>
      </c>
      <c r="V41" s="19" t="s">
        <v>224</v>
      </c>
      <c r="W41" s="13"/>
      <c r="X41" s="7">
        <f>Q41*H41*S41</f>
        <v>0</v>
      </c>
      <c r="Y41" s="24">
        <f>($K41*$O41*($R41)*$S41)</f>
        <v>0</v>
      </c>
      <c r="Z41" s="45">
        <f t="shared" si="39"/>
        <v>0</v>
      </c>
      <c r="AA41" s="24">
        <f>H41*(K41*S41+(1-K41)*W41)</f>
        <v>0</v>
      </c>
      <c r="AB41" s="41"/>
      <c r="AI41" s="121"/>
      <c r="AJ41" s="121"/>
    </row>
    <row r="42" spans="1:36" x14ac:dyDescent="0.25">
      <c r="A42" s="8" t="s">
        <v>113</v>
      </c>
      <c r="B42" s="8" t="s">
        <v>30</v>
      </c>
      <c r="C42" s="22">
        <f>C41</f>
        <v>8</v>
      </c>
      <c r="D42" s="8" t="s">
        <v>206</v>
      </c>
      <c r="E42" s="8">
        <v>0</v>
      </c>
      <c r="F42" s="24">
        <f t="shared" si="36"/>
        <v>0</v>
      </c>
      <c r="G42" s="41">
        <v>1</v>
      </c>
      <c r="H42" s="24">
        <f t="shared" si="37"/>
        <v>0</v>
      </c>
      <c r="I42" s="17"/>
      <c r="J42" s="24">
        <f t="shared" si="26"/>
        <v>0</v>
      </c>
      <c r="K42" s="9">
        <v>1</v>
      </c>
      <c r="L42" s="8"/>
      <c r="M42" s="33">
        <f>M39</f>
        <v>0.625</v>
      </c>
      <c r="N42" s="9"/>
      <c r="O42" s="45">
        <f>I42</f>
        <v>0</v>
      </c>
      <c r="P42" s="19" t="s">
        <v>218</v>
      </c>
      <c r="Q42" s="109">
        <f>'Study Data'!L$59</f>
        <v>4610.6705056980818</v>
      </c>
      <c r="R42" s="100">
        <v>1</v>
      </c>
      <c r="S42" s="13">
        <v>1</v>
      </c>
      <c r="T42" s="19" t="s">
        <v>224</v>
      </c>
      <c r="U42" s="19" t="s">
        <v>224</v>
      </c>
      <c r="V42" s="19" t="s">
        <v>224</v>
      </c>
      <c r="W42" s="13"/>
      <c r="X42" s="7">
        <f>Q42*H42*S42</f>
        <v>0</v>
      </c>
      <c r="Y42" s="24">
        <f>($K42*$O42*($R42)*$S42)</f>
        <v>0</v>
      </c>
      <c r="Z42" s="45">
        <f t="shared" si="39"/>
        <v>0</v>
      </c>
      <c r="AA42" s="24">
        <f>H42*(K42*S42+(1-K42)*W42)</f>
        <v>0</v>
      </c>
      <c r="AB42" s="41"/>
      <c r="AI42" s="121"/>
      <c r="AJ42" s="121"/>
    </row>
    <row r="43" spans="1:36" x14ac:dyDescent="0.25">
      <c r="A43" s="18" t="s">
        <v>115</v>
      </c>
      <c r="B43" s="19"/>
      <c r="C43" s="13">
        <v>6</v>
      </c>
      <c r="D43" s="13"/>
      <c r="E43" s="13">
        <v>10</v>
      </c>
      <c r="F43" s="13"/>
      <c r="G43" s="13"/>
      <c r="H43" s="13"/>
      <c r="I43" s="141"/>
      <c r="J43" s="13"/>
      <c r="K43" s="13">
        <v>17</v>
      </c>
      <c r="L43" s="13">
        <v>22</v>
      </c>
      <c r="M43" s="13">
        <v>22</v>
      </c>
      <c r="N43" s="13">
        <v>26</v>
      </c>
      <c r="O43" s="46"/>
      <c r="P43" s="19"/>
      <c r="Q43" s="38">
        <v>28</v>
      </c>
      <c r="R43" s="38">
        <v>30</v>
      </c>
      <c r="S43" s="19"/>
      <c r="T43" s="19"/>
      <c r="U43" s="19"/>
      <c r="V43" s="19"/>
      <c r="W43" s="19"/>
      <c r="X43" s="13">
        <v>34</v>
      </c>
      <c r="Y43" s="39">
        <v>34</v>
      </c>
      <c r="Z43" s="19"/>
      <c r="AA43" s="19"/>
      <c r="AB43" s="101"/>
      <c r="AI43" s="121"/>
      <c r="AJ43" s="121"/>
    </row>
    <row r="44" spans="1:36" ht="30" x14ac:dyDescent="0.25">
      <c r="A44" s="8" t="s">
        <v>113</v>
      </c>
      <c r="B44" s="5" t="s">
        <v>108</v>
      </c>
      <c r="C44" s="5">
        <f>'Facility Data'!B66</f>
        <v>39</v>
      </c>
      <c r="D44" s="8" t="s">
        <v>109</v>
      </c>
      <c r="E44" s="17">
        <v>0.16666666666666666</v>
      </c>
      <c r="F44" s="24">
        <f t="shared" ref="F44:F47" si="40">C44*E44</f>
        <v>6.5</v>
      </c>
      <c r="G44" s="41">
        <v>0.2</v>
      </c>
      <c r="H44" s="24">
        <f t="shared" ref="H44:H47" si="41">F44*(1-G44)</f>
        <v>5.2</v>
      </c>
      <c r="I44" s="17">
        <f>'Study Data'!D19</f>
        <v>6.28E-3</v>
      </c>
      <c r="J44" s="96">
        <f t="shared" si="26"/>
        <v>3.2656000000000004E-2</v>
      </c>
      <c r="K44" s="6">
        <v>1</v>
      </c>
      <c r="L44" s="8"/>
      <c r="M44" s="8"/>
      <c r="N44" s="9"/>
      <c r="O44" s="27">
        <f>J44</f>
        <v>3.2656000000000004E-2</v>
      </c>
      <c r="P44" s="19" t="s">
        <v>218</v>
      </c>
      <c r="Q44" s="109">
        <f>'Study Data'!M$59</f>
        <v>461.0670505698082</v>
      </c>
      <c r="R44" s="100">
        <v>1</v>
      </c>
      <c r="S44" s="13">
        <v>1</v>
      </c>
      <c r="T44" s="19" t="s">
        <v>224</v>
      </c>
      <c r="U44" s="19" t="s">
        <v>224</v>
      </c>
      <c r="V44" s="19" t="s">
        <v>224</v>
      </c>
      <c r="W44" s="19"/>
      <c r="X44" s="7">
        <f>Q44*H44*S44</f>
        <v>2397.5486629630027</v>
      </c>
      <c r="Y44" s="97">
        <f>($K44*$O44*($R44)*$S44)</f>
        <v>3.2656000000000004E-2</v>
      </c>
      <c r="Z44" s="45">
        <f>O44-Y44</f>
        <v>0</v>
      </c>
      <c r="AA44" s="24">
        <f>H44*(K44*S44+(1-K44)*W44)</f>
        <v>5.2</v>
      </c>
      <c r="AB44" s="41">
        <f>AA44/H44</f>
        <v>1</v>
      </c>
      <c r="AI44" s="121"/>
      <c r="AJ44" s="121"/>
    </row>
    <row r="45" spans="1:36" ht="30" x14ac:dyDescent="0.25">
      <c r="A45" s="8" t="s">
        <v>113</v>
      </c>
      <c r="B45" s="5" t="s">
        <v>108</v>
      </c>
      <c r="C45" s="5">
        <f>C44</f>
        <v>39</v>
      </c>
      <c r="D45" s="8" t="s">
        <v>110</v>
      </c>
      <c r="E45" s="103">
        <v>14.833333333333334</v>
      </c>
      <c r="F45" s="24">
        <f t="shared" si="40"/>
        <v>578.5</v>
      </c>
      <c r="G45" s="41">
        <v>0.2</v>
      </c>
      <c r="H45" s="24">
        <f t="shared" si="41"/>
        <v>462.8</v>
      </c>
      <c r="I45" s="17">
        <f>'Study Data'!E38</f>
        <v>9.4408203753351211E-2</v>
      </c>
      <c r="J45" s="24">
        <f t="shared" si="26"/>
        <v>43.692116697050942</v>
      </c>
      <c r="K45" s="6">
        <v>1</v>
      </c>
      <c r="L45" s="8"/>
      <c r="M45" s="8"/>
      <c r="N45" s="9"/>
      <c r="O45" s="45">
        <f>J45</f>
        <v>43.692116697050942</v>
      </c>
      <c r="P45" s="19" t="s">
        <v>218</v>
      </c>
      <c r="Q45" s="109">
        <f>'Study Data'!M$59</f>
        <v>461.0670505698082</v>
      </c>
      <c r="R45" s="100">
        <v>1</v>
      </c>
      <c r="S45" s="13">
        <v>1</v>
      </c>
      <c r="T45" s="19" t="s">
        <v>224</v>
      </c>
      <c r="U45" s="19" t="s">
        <v>224</v>
      </c>
      <c r="V45" s="19" t="s">
        <v>224</v>
      </c>
      <c r="W45" s="19"/>
      <c r="X45" s="7">
        <f>Q45*H45*S45</f>
        <v>213381.83100370725</v>
      </c>
      <c r="Y45" s="24">
        <f>($K45*$O45*($R45)*$S45)</f>
        <v>43.692116697050942</v>
      </c>
      <c r="Z45" s="45">
        <f t="shared" ref="Z45:Z47" si="42">O45-Y45</f>
        <v>0</v>
      </c>
      <c r="AA45" s="24">
        <f>H45*(K45*S45+(1-K45)*W45)</f>
        <v>462.8</v>
      </c>
      <c r="AB45" s="41">
        <f t="shared" ref="AB45:AB46" si="43">AA45/H45</f>
        <v>1</v>
      </c>
      <c r="AI45" s="121"/>
      <c r="AJ45" s="121"/>
    </row>
    <row r="46" spans="1:36" ht="30" x14ac:dyDescent="0.25">
      <c r="A46" s="8" t="s">
        <v>113</v>
      </c>
      <c r="B46" s="5" t="s">
        <v>108</v>
      </c>
      <c r="C46" s="5">
        <f t="shared" ref="C46:C47" si="44">C45</f>
        <v>39</v>
      </c>
      <c r="D46" s="8" t="s">
        <v>111</v>
      </c>
      <c r="E46" s="17">
        <v>0.41666666666666669</v>
      </c>
      <c r="F46" s="24">
        <f t="shared" si="40"/>
        <v>16.25</v>
      </c>
      <c r="G46" s="41">
        <v>0.2</v>
      </c>
      <c r="H46" s="24">
        <f t="shared" si="41"/>
        <v>13</v>
      </c>
      <c r="I46" s="17">
        <f>'Study Data'!B19</f>
        <v>8.3000000000000004E-2</v>
      </c>
      <c r="J46" s="96">
        <f t="shared" si="26"/>
        <v>1.079</v>
      </c>
      <c r="K46" s="6">
        <v>1</v>
      </c>
      <c r="L46" s="33">
        <f>'Facility Data'!D114/'Facility Data'!B114</f>
        <v>0.15384615384615385</v>
      </c>
      <c r="M46" s="33">
        <f>'Facility Data'!C114/'Facility Data'!B114</f>
        <v>0.84615384615384615</v>
      </c>
      <c r="N46" s="9">
        <f>(0.05+0.2)/2</f>
        <v>0.125</v>
      </c>
      <c r="O46" s="48">
        <f>(J46*(1-(M46)))+(J46*(M46)*N46)+(J46*(M46)*(1-N46)*(6/'Study Data'!$B$75))</f>
        <v>0.40863036193029489</v>
      </c>
      <c r="P46" s="19" t="s">
        <v>218</v>
      </c>
      <c r="Q46" s="109">
        <f>'Study Data'!M$59</f>
        <v>461.0670505698082</v>
      </c>
      <c r="R46" s="100">
        <v>1</v>
      </c>
      <c r="S46" s="13">
        <v>1</v>
      </c>
      <c r="T46" s="19" t="s">
        <v>224</v>
      </c>
      <c r="U46" s="19" t="s">
        <v>224</v>
      </c>
      <c r="V46" s="19" t="s">
        <v>224</v>
      </c>
      <c r="W46" s="19"/>
      <c r="X46" s="7">
        <f>Q46*H46*S46</f>
        <v>5993.871657407507</v>
      </c>
      <c r="Y46" s="96">
        <f>($K46*$O46*($R46)*$S46)</f>
        <v>0.40863036193029489</v>
      </c>
      <c r="Z46" s="45">
        <f t="shared" si="42"/>
        <v>0</v>
      </c>
      <c r="AA46" s="24">
        <f>H46*(K46*S46+(1-K46)*W46)</f>
        <v>13</v>
      </c>
      <c r="AB46" s="41">
        <f t="shared" si="43"/>
        <v>1</v>
      </c>
      <c r="AI46" s="121"/>
      <c r="AJ46" s="121"/>
    </row>
    <row r="47" spans="1:36" ht="30" x14ac:dyDescent="0.25">
      <c r="A47" s="8" t="s">
        <v>113</v>
      </c>
      <c r="B47" s="5" t="s">
        <v>108</v>
      </c>
      <c r="C47" s="5">
        <f t="shared" si="44"/>
        <v>39</v>
      </c>
      <c r="D47" s="8" t="s">
        <v>206</v>
      </c>
      <c r="E47" s="8"/>
      <c r="F47" s="24">
        <f t="shared" si="40"/>
        <v>0</v>
      </c>
      <c r="G47" s="41">
        <v>0.2</v>
      </c>
      <c r="H47" s="24">
        <f t="shared" si="41"/>
        <v>0</v>
      </c>
      <c r="I47" s="8"/>
      <c r="J47" s="24">
        <f t="shared" si="26"/>
        <v>0</v>
      </c>
      <c r="K47" s="6">
        <v>1</v>
      </c>
      <c r="L47" s="8"/>
      <c r="M47" s="8"/>
      <c r="N47" s="9"/>
      <c r="O47" s="45">
        <f>J47</f>
        <v>0</v>
      </c>
      <c r="P47" s="19" t="s">
        <v>218</v>
      </c>
      <c r="Q47" s="109">
        <f>'Study Data'!M$59</f>
        <v>461.0670505698082</v>
      </c>
      <c r="R47" s="100">
        <v>1</v>
      </c>
      <c r="S47" s="13">
        <v>1</v>
      </c>
      <c r="T47" s="19" t="s">
        <v>224</v>
      </c>
      <c r="U47" s="19" t="s">
        <v>224</v>
      </c>
      <c r="V47" s="19" t="s">
        <v>224</v>
      </c>
      <c r="W47" s="19"/>
      <c r="X47" s="7">
        <f>Q47*H47*S47</f>
        <v>0</v>
      </c>
      <c r="Y47" s="24">
        <f>($K47*$O47*($R47)*$S47)</f>
        <v>0</v>
      </c>
      <c r="Z47" s="45">
        <f t="shared" si="42"/>
        <v>0</v>
      </c>
      <c r="AA47" s="24">
        <f>H47*(K47*S47+(1-K47)*W47)</f>
        <v>0</v>
      </c>
      <c r="AB47" s="41"/>
      <c r="AI47" s="121"/>
      <c r="AJ47" s="121"/>
    </row>
    <row r="48" spans="1:36" x14ac:dyDescent="0.25">
      <c r="A48" s="18" t="s">
        <v>115</v>
      </c>
      <c r="B48" s="19"/>
      <c r="C48" s="13" t="s">
        <v>323</v>
      </c>
      <c r="D48" s="13"/>
      <c r="E48" s="13">
        <v>11</v>
      </c>
      <c r="F48" s="13"/>
      <c r="G48" s="13"/>
      <c r="H48" s="13"/>
      <c r="I48" s="13" t="s">
        <v>326</v>
      </c>
      <c r="J48" s="13"/>
      <c r="K48" s="13">
        <v>17</v>
      </c>
      <c r="L48" s="13">
        <v>22</v>
      </c>
      <c r="M48" s="13">
        <v>22</v>
      </c>
      <c r="N48" s="13" t="s">
        <v>317</v>
      </c>
      <c r="O48" s="19"/>
      <c r="P48" s="19"/>
      <c r="Q48" s="13">
        <v>29</v>
      </c>
      <c r="R48" s="13">
        <v>30</v>
      </c>
      <c r="S48" s="13"/>
      <c r="T48" s="19"/>
      <c r="U48" s="110"/>
      <c r="V48" s="110"/>
      <c r="W48" s="19"/>
      <c r="X48" s="13">
        <v>34</v>
      </c>
      <c r="Y48" s="39">
        <v>34</v>
      </c>
      <c r="Z48" s="19"/>
      <c r="AA48" s="19"/>
      <c r="AB48" s="19"/>
    </row>
    <row r="49" spans="1:37" x14ac:dyDescent="0.25">
      <c r="I49" s="51" t="s">
        <v>242</v>
      </c>
      <c r="J49" s="52">
        <f>SUM(J29:J47)</f>
        <v>25521.831368354498</v>
      </c>
      <c r="N49" s="51" t="s">
        <v>242</v>
      </c>
      <c r="O49" s="52">
        <f>SUM(O29:O47)</f>
        <v>25432.835986432081</v>
      </c>
      <c r="U49" s="111"/>
      <c r="V49" s="111"/>
      <c r="W49" s="51" t="s">
        <v>243</v>
      </c>
      <c r="X49" s="57">
        <f>SUM(X29,X30,X31,X32,X34,X35,X36,X37,X39,X40,X41,X42,X44,X45,X46,X47)</f>
        <v>66907899.696110345</v>
      </c>
      <c r="Y49" s="51" t="s">
        <v>242</v>
      </c>
      <c r="Z49" s="52">
        <f>SUM(Z29:Z32,Z34:Z37,Z39:Z42,Z44:Z47)</f>
        <v>1655.1423609481726</v>
      </c>
      <c r="AA49" s="52"/>
      <c r="AB49" s="52"/>
    </row>
    <row r="50" spans="1:37" x14ac:dyDescent="0.25">
      <c r="Y50" s="53" t="s">
        <v>216</v>
      </c>
      <c r="Z50" s="54">
        <f>(O49-Z49)/O49</f>
        <v>0.93492104609052806</v>
      </c>
      <c r="AA50" s="53" t="s">
        <v>216</v>
      </c>
      <c r="AB50" s="99">
        <f>SUM(AA29:AA47)/SUM(H29:H47)</f>
        <v>0.96882535422470928</v>
      </c>
    </row>
    <row r="51" spans="1:37" x14ac:dyDescent="0.25">
      <c r="A51" s="98" t="s">
        <v>117</v>
      </c>
      <c r="X51" s="10"/>
    </row>
    <row r="52" spans="1:37" x14ac:dyDescent="0.25">
      <c r="A52">
        <v>1</v>
      </c>
      <c r="B52" t="s">
        <v>312</v>
      </c>
    </row>
    <row r="53" spans="1:37" x14ac:dyDescent="0.25">
      <c r="A53">
        <v>2</v>
      </c>
      <c r="B53" t="s">
        <v>370</v>
      </c>
    </row>
    <row r="54" spans="1:37" x14ac:dyDescent="0.25">
      <c r="A54">
        <v>3</v>
      </c>
      <c r="B54" t="s">
        <v>371</v>
      </c>
    </row>
    <row r="55" spans="1:37" x14ac:dyDescent="0.25">
      <c r="A55">
        <v>4</v>
      </c>
      <c r="B55" t="s">
        <v>374</v>
      </c>
    </row>
    <row r="56" spans="1:37" x14ac:dyDescent="0.25">
      <c r="A56">
        <v>5</v>
      </c>
      <c r="B56" t="s">
        <v>209</v>
      </c>
    </row>
    <row r="57" spans="1:37" x14ac:dyDescent="0.25">
      <c r="A57">
        <v>6</v>
      </c>
      <c r="B57" t="s">
        <v>372</v>
      </c>
    </row>
    <row r="58" spans="1:37" x14ac:dyDescent="0.25">
      <c r="A58">
        <v>7</v>
      </c>
      <c r="B58" t="s">
        <v>375</v>
      </c>
    </row>
    <row r="59" spans="1:37" s="12" customFormat="1" x14ac:dyDescent="0.25">
      <c r="A59" s="12">
        <v>8</v>
      </c>
      <c r="B59" s="12" t="s">
        <v>376</v>
      </c>
      <c r="X59" s="43"/>
      <c r="Y59" s="43"/>
      <c r="AD59" s="3"/>
      <c r="AE59" s="3"/>
      <c r="AF59" s="3"/>
      <c r="AG59" s="3"/>
      <c r="AH59" s="3"/>
      <c r="AI59" s="3"/>
      <c r="AJ59" s="3"/>
      <c r="AK59" s="3"/>
    </row>
    <row r="60" spans="1:37" s="12" customFormat="1" x14ac:dyDescent="0.25">
      <c r="A60" s="12">
        <v>9</v>
      </c>
      <c r="B60" s="12" t="s">
        <v>376</v>
      </c>
      <c r="X60" s="43"/>
      <c r="Y60" s="43"/>
      <c r="AD60" s="3"/>
      <c r="AE60" s="3"/>
      <c r="AF60" s="3"/>
      <c r="AG60" s="3"/>
      <c r="AH60" s="3"/>
      <c r="AI60" s="3"/>
      <c r="AJ60" s="3"/>
      <c r="AK60" s="3"/>
    </row>
    <row r="61" spans="1:37" s="12" customFormat="1" x14ac:dyDescent="0.25">
      <c r="A61" s="12">
        <v>10</v>
      </c>
      <c r="B61" s="12" t="s">
        <v>377</v>
      </c>
      <c r="X61" s="43"/>
      <c r="Y61" s="43"/>
      <c r="AD61" s="3"/>
      <c r="AE61" s="3"/>
      <c r="AF61" s="3"/>
      <c r="AG61" s="3"/>
      <c r="AH61" s="3"/>
      <c r="AI61" s="3"/>
      <c r="AJ61" s="3"/>
      <c r="AK61" s="3"/>
    </row>
    <row r="62" spans="1:37" s="12" customFormat="1" x14ac:dyDescent="0.25">
      <c r="A62" s="12">
        <v>11</v>
      </c>
      <c r="B62" s="12" t="s">
        <v>376</v>
      </c>
      <c r="X62" s="43"/>
      <c r="Y62" s="43"/>
      <c r="AD62" s="3"/>
      <c r="AE62" s="3"/>
      <c r="AF62" s="3"/>
      <c r="AG62" s="3"/>
      <c r="AH62" s="3"/>
      <c r="AI62" s="3"/>
      <c r="AJ62" s="3"/>
      <c r="AK62" s="3"/>
    </row>
    <row r="63" spans="1:37" s="12" customFormat="1" x14ac:dyDescent="0.25">
      <c r="A63" s="12">
        <v>12</v>
      </c>
      <c r="B63" s="12" t="s">
        <v>389</v>
      </c>
      <c r="X63" s="43"/>
      <c r="Y63" s="43"/>
      <c r="AD63" s="3"/>
      <c r="AE63" s="3"/>
      <c r="AF63" s="3"/>
      <c r="AG63" s="3"/>
      <c r="AH63" s="3"/>
      <c r="AI63" s="3"/>
      <c r="AJ63" s="3"/>
      <c r="AK63" s="3"/>
    </row>
    <row r="64" spans="1:37" s="12" customFormat="1" x14ac:dyDescent="0.25">
      <c r="A64" s="12">
        <v>13</v>
      </c>
      <c r="B64" s="12" t="s">
        <v>121</v>
      </c>
      <c r="X64" s="43"/>
      <c r="Y64" s="43"/>
      <c r="AD64" s="3"/>
      <c r="AE64" s="3"/>
      <c r="AF64" s="3"/>
      <c r="AG64" s="3"/>
      <c r="AH64" s="3"/>
      <c r="AI64" s="3"/>
      <c r="AJ64" s="3"/>
      <c r="AK64" s="3"/>
    </row>
    <row r="65" spans="1:37" s="12" customFormat="1" x14ac:dyDescent="0.25">
      <c r="A65" s="12">
        <v>14</v>
      </c>
      <c r="B65" s="12" t="s">
        <v>200</v>
      </c>
      <c r="X65" s="43"/>
      <c r="Y65" s="43"/>
      <c r="AD65" s="3"/>
      <c r="AE65" s="3"/>
      <c r="AF65" s="3"/>
      <c r="AG65" s="3"/>
      <c r="AH65" s="3"/>
      <c r="AI65" s="3"/>
      <c r="AJ65" s="3"/>
      <c r="AK65" s="3"/>
    </row>
    <row r="66" spans="1:37" s="12" customFormat="1" x14ac:dyDescent="0.25">
      <c r="A66" s="12">
        <v>15</v>
      </c>
      <c r="B66" s="12" t="s">
        <v>410</v>
      </c>
      <c r="X66" s="43"/>
      <c r="Y66" s="43"/>
      <c r="AD66" s="3"/>
      <c r="AE66" s="3"/>
      <c r="AF66" s="3"/>
      <c r="AG66" s="3"/>
      <c r="AH66" s="3"/>
      <c r="AI66" s="3"/>
      <c r="AJ66" s="3"/>
      <c r="AK66" s="3"/>
    </row>
    <row r="67" spans="1:37" s="12" customFormat="1" x14ac:dyDescent="0.25">
      <c r="A67" s="12">
        <v>16</v>
      </c>
      <c r="B67" s="12" t="s">
        <v>373</v>
      </c>
      <c r="X67" s="43"/>
      <c r="Y67" s="43"/>
      <c r="AD67" s="3"/>
      <c r="AE67" s="3"/>
      <c r="AF67" s="3"/>
      <c r="AG67" s="3"/>
      <c r="AH67" s="3"/>
      <c r="AI67" s="3"/>
      <c r="AJ67" s="3"/>
      <c r="AK67" s="3"/>
    </row>
    <row r="68" spans="1:37" s="12" customFormat="1" x14ac:dyDescent="0.25">
      <c r="A68" s="12">
        <v>17</v>
      </c>
      <c r="B68" s="12" t="s">
        <v>378</v>
      </c>
      <c r="X68" s="43"/>
      <c r="Y68" s="43"/>
      <c r="AD68" s="3"/>
      <c r="AE68" s="3"/>
      <c r="AF68" s="3"/>
      <c r="AG68" s="3"/>
      <c r="AH68" s="3"/>
      <c r="AI68" s="3"/>
      <c r="AJ68" s="3"/>
      <c r="AK68" s="3"/>
    </row>
    <row r="69" spans="1:37" s="12" customFormat="1" x14ac:dyDescent="0.25">
      <c r="A69" s="12">
        <v>18</v>
      </c>
      <c r="B69" s="12" t="s">
        <v>241</v>
      </c>
      <c r="X69" s="43"/>
      <c r="Y69" s="43"/>
      <c r="AD69" s="3"/>
      <c r="AE69" s="3"/>
      <c r="AF69" s="3"/>
      <c r="AG69" s="3"/>
      <c r="AH69" s="3"/>
      <c r="AI69" s="3"/>
      <c r="AJ69" s="3"/>
      <c r="AK69" s="3"/>
    </row>
    <row r="70" spans="1:37" s="12" customFormat="1" x14ac:dyDescent="0.25">
      <c r="A70" s="12">
        <v>19</v>
      </c>
      <c r="B70" s="12" t="s">
        <v>240</v>
      </c>
      <c r="X70" s="43"/>
      <c r="Y70" s="43"/>
      <c r="AD70" s="3"/>
      <c r="AE70" s="3"/>
      <c r="AF70" s="3"/>
      <c r="AG70" s="3"/>
      <c r="AH70" s="3"/>
      <c r="AI70" s="3"/>
      <c r="AJ70" s="3"/>
      <c r="AK70" s="3"/>
    </row>
    <row r="71" spans="1:37" s="12" customFormat="1" x14ac:dyDescent="0.25">
      <c r="A71" s="12">
        <v>20</v>
      </c>
      <c r="B71" s="12" t="s">
        <v>269</v>
      </c>
      <c r="X71" s="43"/>
      <c r="Y71" s="43"/>
      <c r="AD71" s="3"/>
      <c r="AE71" s="3"/>
      <c r="AF71" s="3"/>
      <c r="AG71" s="3"/>
      <c r="AH71" s="3"/>
      <c r="AI71" s="3"/>
      <c r="AJ71" s="3"/>
      <c r="AK71" s="3"/>
    </row>
    <row r="72" spans="1:37" s="12" customFormat="1" x14ac:dyDescent="0.25">
      <c r="A72" s="12">
        <v>21</v>
      </c>
      <c r="B72" s="12" t="s">
        <v>368</v>
      </c>
      <c r="X72" s="43"/>
      <c r="Y72" s="43"/>
      <c r="AD72" s="3"/>
      <c r="AE72" s="3"/>
      <c r="AF72" s="3"/>
      <c r="AG72" s="3"/>
      <c r="AH72" s="3"/>
      <c r="AI72" s="3"/>
      <c r="AJ72" s="3"/>
      <c r="AK72" s="3"/>
    </row>
    <row r="73" spans="1:37" s="12" customFormat="1" x14ac:dyDescent="0.25">
      <c r="A73" s="12">
        <v>22</v>
      </c>
      <c r="B73" s="12" t="s">
        <v>369</v>
      </c>
      <c r="X73" s="43"/>
      <c r="Y73" s="43"/>
      <c r="AD73" s="3"/>
      <c r="AE73" s="3"/>
      <c r="AF73" s="3"/>
      <c r="AG73" s="3"/>
      <c r="AH73" s="3"/>
      <c r="AI73" s="3"/>
      <c r="AJ73" s="3"/>
      <c r="AK73" s="3"/>
    </row>
    <row r="74" spans="1:37" s="12" customFormat="1" x14ac:dyDescent="0.25">
      <c r="A74" s="12">
        <v>23</v>
      </c>
      <c r="B74" s="12" t="s">
        <v>203</v>
      </c>
      <c r="X74" s="43"/>
      <c r="Y74" s="43"/>
      <c r="AD74" s="3"/>
      <c r="AE74" s="3"/>
      <c r="AF74" s="3"/>
      <c r="AG74" s="3"/>
      <c r="AH74" s="3"/>
      <c r="AI74" s="3"/>
      <c r="AJ74" s="3"/>
      <c r="AK74" s="3"/>
    </row>
    <row r="75" spans="1:37" s="12" customFormat="1" x14ac:dyDescent="0.25">
      <c r="A75" s="12">
        <v>24</v>
      </c>
      <c r="B75" s="12" t="s">
        <v>204</v>
      </c>
      <c r="X75" s="43"/>
      <c r="Y75" s="43"/>
      <c r="AD75" s="3"/>
      <c r="AE75" s="3"/>
      <c r="AF75" s="3"/>
      <c r="AG75" s="3"/>
      <c r="AH75" s="3"/>
      <c r="AI75" s="3"/>
      <c r="AJ75" s="3"/>
      <c r="AK75" s="3"/>
    </row>
    <row r="76" spans="1:37" s="12" customFormat="1" x14ac:dyDescent="0.25">
      <c r="A76" s="12">
        <v>25</v>
      </c>
      <c r="B76" s="12" t="s">
        <v>205</v>
      </c>
      <c r="X76" s="43"/>
      <c r="Y76" s="43"/>
      <c r="AD76" s="3"/>
      <c r="AE76" s="3"/>
      <c r="AF76" s="3"/>
      <c r="AG76" s="3"/>
      <c r="AH76" s="3"/>
      <c r="AI76" s="3"/>
      <c r="AJ76" s="3"/>
      <c r="AK76" s="3"/>
    </row>
    <row r="77" spans="1:37" s="12" customFormat="1" x14ac:dyDescent="0.25">
      <c r="A77" s="12">
        <v>26</v>
      </c>
      <c r="B77" s="12" t="s">
        <v>380</v>
      </c>
      <c r="X77" s="43"/>
      <c r="Y77" s="43"/>
      <c r="AD77" s="3"/>
      <c r="AE77" s="3"/>
      <c r="AF77" s="3"/>
      <c r="AG77" s="3"/>
      <c r="AH77" s="3"/>
      <c r="AI77" s="3"/>
      <c r="AJ77" s="3"/>
      <c r="AK77" s="3"/>
    </row>
    <row r="78" spans="1:37" s="12" customFormat="1" x14ac:dyDescent="0.25">
      <c r="A78" s="12">
        <v>27</v>
      </c>
      <c r="B78" s="12" t="s">
        <v>228</v>
      </c>
      <c r="X78" s="43"/>
      <c r="Y78" s="43"/>
      <c r="AD78" s="3"/>
      <c r="AE78" s="3"/>
      <c r="AF78" s="3"/>
      <c r="AG78" s="3"/>
      <c r="AH78" s="3"/>
      <c r="AI78" s="3"/>
      <c r="AJ78" s="3"/>
      <c r="AK78" s="3"/>
    </row>
    <row r="79" spans="1:37" s="12" customFormat="1" x14ac:dyDescent="0.25">
      <c r="A79" s="12">
        <v>28</v>
      </c>
      <c r="B79" s="12" t="s">
        <v>220</v>
      </c>
      <c r="X79" s="43"/>
      <c r="Y79" s="43"/>
      <c r="AD79" s="3"/>
      <c r="AE79" s="3"/>
      <c r="AF79" s="3"/>
      <c r="AG79" s="3"/>
      <c r="AH79" s="3"/>
      <c r="AI79" s="3"/>
      <c r="AJ79" s="3"/>
      <c r="AK79" s="3"/>
    </row>
    <row r="80" spans="1:37" s="12" customFormat="1" x14ac:dyDescent="0.25">
      <c r="A80" s="12">
        <v>29</v>
      </c>
      <c r="B80" s="12" t="s">
        <v>327</v>
      </c>
      <c r="X80" s="43"/>
      <c r="Y80" s="43"/>
      <c r="AD80" s="3"/>
      <c r="AE80" s="3"/>
      <c r="AF80" s="3"/>
      <c r="AG80" s="3"/>
      <c r="AH80" s="3"/>
      <c r="AI80" s="3"/>
      <c r="AJ80" s="3"/>
      <c r="AK80" s="3"/>
    </row>
    <row r="81" spans="1:37" s="12" customFormat="1" x14ac:dyDescent="0.25">
      <c r="A81" s="12">
        <v>30</v>
      </c>
      <c r="B81" s="12" t="s">
        <v>307</v>
      </c>
      <c r="X81" s="43"/>
      <c r="Y81" s="43"/>
      <c r="AD81" s="3"/>
      <c r="AE81" s="3"/>
      <c r="AF81" s="3"/>
      <c r="AG81" s="3"/>
      <c r="AH81" s="3"/>
      <c r="AI81" s="3"/>
      <c r="AJ81" s="3"/>
      <c r="AK81" s="3"/>
    </row>
    <row r="82" spans="1:37" s="12" customFormat="1" x14ac:dyDescent="0.25">
      <c r="A82" s="12">
        <v>31</v>
      </c>
      <c r="B82" s="12" t="s">
        <v>221</v>
      </c>
      <c r="X82" s="43"/>
      <c r="Y82" s="43"/>
      <c r="AD82" s="3"/>
      <c r="AE82" s="3"/>
      <c r="AF82" s="3"/>
      <c r="AG82" s="3"/>
      <c r="AH82" s="3"/>
      <c r="AI82" s="3"/>
      <c r="AJ82" s="3"/>
      <c r="AK82" s="3"/>
    </row>
    <row r="83" spans="1:37" s="12" customFormat="1" x14ac:dyDescent="0.25">
      <c r="A83" s="12">
        <v>32</v>
      </c>
      <c r="B83" s="12" t="s">
        <v>223</v>
      </c>
      <c r="X83" s="43"/>
      <c r="Y83" s="43"/>
      <c r="AD83" s="3"/>
      <c r="AE83" s="3"/>
      <c r="AF83" s="3"/>
      <c r="AG83" s="3"/>
      <c r="AH83" s="3"/>
      <c r="AI83" s="3"/>
      <c r="AJ83" s="3"/>
      <c r="AK83" s="3"/>
    </row>
    <row r="84" spans="1:37" s="12" customFormat="1" x14ac:dyDescent="0.25">
      <c r="A84" s="12">
        <v>33</v>
      </c>
      <c r="B84" s="12" t="s">
        <v>237</v>
      </c>
      <c r="X84" s="43"/>
      <c r="Y84" s="43"/>
      <c r="AD84" s="3"/>
      <c r="AE84" s="3"/>
      <c r="AF84" s="3"/>
      <c r="AG84" s="3"/>
      <c r="AH84" s="3"/>
      <c r="AI84" s="3"/>
      <c r="AJ84" s="3"/>
      <c r="AK84" s="3"/>
    </row>
    <row r="85" spans="1:37" s="12" customFormat="1" x14ac:dyDescent="0.25">
      <c r="A85" s="12">
        <v>34</v>
      </c>
      <c r="B85" s="12" t="s">
        <v>306</v>
      </c>
      <c r="X85" s="43"/>
      <c r="Y85" s="43"/>
      <c r="AD85" s="3"/>
      <c r="AE85" s="3"/>
      <c r="AF85" s="3"/>
      <c r="AG85" s="3"/>
      <c r="AH85" s="3"/>
      <c r="AI85" s="3"/>
      <c r="AJ85" s="3"/>
      <c r="AK85" s="3"/>
    </row>
    <row r="86" spans="1:37" s="12" customFormat="1" x14ac:dyDescent="0.25">
      <c r="A86" s="12">
        <v>35</v>
      </c>
      <c r="B86" s="87" t="s">
        <v>391</v>
      </c>
      <c r="X86" s="43"/>
      <c r="Y86" s="43"/>
      <c r="AD86" s="3"/>
      <c r="AE86" s="3"/>
      <c r="AF86" s="3"/>
      <c r="AG86" s="3"/>
      <c r="AH86" s="3"/>
      <c r="AI86" s="3"/>
      <c r="AJ86" s="3"/>
      <c r="AK86" s="3"/>
    </row>
    <row r="95" spans="1:37" x14ac:dyDescent="0.25">
      <c r="A95" s="12"/>
    </row>
  </sheetData>
  <sheetProtection algorithmName="SHA-512" hashValue="/goe9YOFjdzyLv1cYuCsw94oHRA54LWR51F3kjgd0h0kJJ05vS4pgZDcZAUOWMZ9hLGHfOv8jp57UCWwd64uZQ==" saltValue="JBw26gyFsgX2JicmW7DsTg==" spinCount="100000" sheet="1" objects="1" scenarios="1"/>
  <sortState xmlns:xlrd2="http://schemas.microsoft.com/office/spreadsheetml/2017/richdata2" ref="A52:B95">
    <sortCondition ref="A52:A95"/>
  </sortState>
  <mergeCells count="4">
    <mergeCell ref="T3:W3"/>
    <mergeCell ref="P3:S3"/>
    <mergeCell ref="P27:S27"/>
    <mergeCell ref="T27:W27"/>
  </mergeCells>
  <phoneticPr fontId="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3C8B9-7C56-47FE-B443-255D6610B8DF}">
  <dimension ref="A3:K34"/>
  <sheetViews>
    <sheetView workbookViewId="0">
      <pane xSplit="1" ySplit="1" topLeftCell="B2" activePane="bottomRight" state="frozen"/>
      <selection pane="topRight" activeCell="B1" sqref="B1"/>
      <selection pane="bottomLeft" activeCell="A2" sqref="A2"/>
      <selection pane="bottomRight" activeCell="E7" sqref="E7"/>
    </sheetView>
  </sheetViews>
  <sheetFormatPr defaultColWidth="9.140625" defaultRowHeight="15" x14ac:dyDescent="0.25"/>
  <cols>
    <col min="1" max="1" width="34.7109375" style="1" bestFit="1" customWidth="1"/>
    <col min="2" max="2" width="47.85546875" style="60" bestFit="1" customWidth="1"/>
    <col min="3" max="3" width="11.28515625" style="61" bestFit="1" customWidth="1"/>
    <col min="4" max="4" width="21.85546875" style="60" bestFit="1" customWidth="1"/>
    <col min="5" max="5" width="21.7109375" style="61" bestFit="1" customWidth="1"/>
    <col min="6" max="6" width="21.7109375" style="60" customWidth="1"/>
    <col min="7" max="7" width="17.42578125" style="1" customWidth="1"/>
    <col min="8" max="8" width="15.5703125" style="1" customWidth="1"/>
    <col min="9" max="9" width="17.85546875" style="1" customWidth="1"/>
    <col min="10" max="10" width="9.140625" style="1"/>
    <col min="11" max="11" width="11.5703125" style="1" bestFit="1" customWidth="1"/>
    <col min="12" max="16384" width="9.140625" style="1"/>
  </cols>
  <sheetData>
    <row r="3" spans="1:9" ht="45" x14ac:dyDescent="0.25">
      <c r="A3" s="59" t="s">
        <v>102</v>
      </c>
      <c r="B3" s="59" t="s">
        <v>104</v>
      </c>
      <c r="C3" s="59" t="s">
        <v>112</v>
      </c>
      <c r="D3" s="124" t="s">
        <v>244</v>
      </c>
      <c r="E3" s="126" t="s">
        <v>248</v>
      </c>
      <c r="F3" s="125" t="s">
        <v>247</v>
      </c>
      <c r="G3" s="124" t="s">
        <v>270</v>
      </c>
      <c r="H3" s="124" t="s">
        <v>344</v>
      </c>
      <c r="I3" s="124" t="s">
        <v>245</v>
      </c>
    </row>
    <row r="4" spans="1:9" hidden="1" x14ac:dyDescent="0.25">
      <c r="A4" s="1" t="s">
        <v>115</v>
      </c>
      <c r="B4" s="1"/>
      <c r="C4" s="1"/>
      <c r="D4" s="68"/>
      <c r="E4"/>
      <c r="F4"/>
    </row>
    <row r="5" spans="1:9" x14ac:dyDescent="0.25">
      <c r="A5" s="1" t="s">
        <v>106</v>
      </c>
      <c r="B5" s="1" t="s">
        <v>107</v>
      </c>
      <c r="C5" s="1">
        <v>570</v>
      </c>
      <c r="D5" s="68">
        <v>2177.675886658732</v>
      </c>
      <c r="E5" s="112">
        <f>SUM('Emissions and Costs'!X10:X13)</f>
        <v>2009681.3352257113</v>
      </c>
      <c r="F5" s="115">
        <f>SUM('Emissions and Costs'!Z10:Z13)</f>
        <v>1605.2099397685549</v>
      </c>
      <c r="G5" s="67">
        <f>E5/C5</f>
        <v>3525.7567284661604</v>
      </c>
      <c r="H5" s="62">
        <f>D5-F5</f>
        <v>572.46594689017707</v>
      </c>
      <c r="I5" s="63">
        <f>E5/(D5-F5)</f>
        <v>3510.5692244979114</v>
      </c>
    </row>
    <row r="6" spans="1:9" x14ac:dyDescent="0.25">
      <c r="B6" s="1" t="s">
        <v>30</v>
      </c>
      <c r="C6" s="1">
        <v>40</v>
      </c>
      <c r="D6" s="68">
        <v>0</v>
      </c>
      <c r="E6" s="112">
        <f>SUM('Emissions and Costs'!X15:X18)</f>
        <v>0</v>
      </c>
      <c r="F6" s="133">
        <f>SUM('Emissions and Costs'!Z15:Z18)</f>
        <v>0</v>
      </c>
      <c r="G6" s="67">
        <f>E6/C6</f>
        <v>0</v>
      </c>
      <c r="H6" s="62">
        <f>D6-F6</f>
        <v>0</v>
      </c>
      <c r="I6" s="63"/>
    </row>
    <row r="7" spans="1:9" x14ac:dyDescent="0.25">
      <c r="B7" s="1" t="s">
        <v>108</v>
      </c>
      <c r="C7" s="1">
        <v>29</v>
      </c>
      <c r="D7" s="68">
        <v>32.848398528150135</v>
      </c>
      <c r="E7" s="112">
        <f>SUM('Emissions and Costs'!X20:X23)</f>
        <v>164908.31508713475</v>
      </c>
      <c r="F7" s="133">
        <f>SUM('Emissions and Costs'!Z20:Z23)</f>
        <v>0</v>
      </c>
      <c r="G7" s="67">
        <f>E7/C7</f>
        <v>5686.4936236943013</v>
      </c>
      <c r="H7" s="62">
        <f>D7-F7</f>
        <v>32.848398528150135</v>
      </c>
      <c r="I7" s="63">
        <f>E7/(D7-F7)</f>
        <v>5020.2847772262949</v>
      </c>
    </row>
    <row r="8" spans="1:9" ht="15.75" thickBot="1" x14ac:dyDescent="0.3">
      <c r="B8" s="1" t="s">
        <v>305</v>
      </c>
      <c r="C8" s="130">
        <v>27489</v>
      </c>
      <c r="D8" s="220">
        <v>6963.8627734632137</v>
      </c>
      <c r="E8" s="113">
        <f>SUM('Emissions and Costs'!X5:X8)</f>
        <v>16955660.055611268</v>
      </c>
      <c r="F8" s="134">
        <f>SUM('Emissions and Costs'!Z5:Z8)</f>
        <v>0</v>
      </c>
      <c r="G8" s="127">
        <f>E8/C8</f>
        <v>616.81618304089886</v>
      </c>
      <c r="H8" s="128">
        <f>D8-F8</f>
        <v>6963.8627734632137</v>
      </c>
      <c r="I8" s="129">
        <f>E8/(D8-F8)</f>
        <v>2434.8067455067057</v>
      </c>
    </row>
    <row r="9" spans="1:9" x14ac:dyDescent="0.25">
      <c r="A9" s="1" t="s">
        <v>151</v>
      </c>
      <c r="B9" s="1"/>
      <c r="C9" s="1"/>
      <c r="D9" s="68">
        <v>9174.3870586500962</v>
      </c>
      <c r="E9" s="114">
        <f>SUM(E5:E8)</f>
        <v>19130249.705924112</v>
      </c>
      <c r="F9" s="117">
        <f t="shared" ref="F9" si="0">SUM(F5:F8)</f>
        <v>1605.2099397685549</v>
      </c>
      <c r="G9" s="67"/>
      <c r="H9" s="62">
        <f>D9-F9</f>
        <v>7569.177118881541</v>
      </c>
      <c r="I9" s="61">
        <f>E9/(D9-F9)</f>
        <v>2527.3883019863715</v>
      </c>
    </row>
    <row r="10" spans="1:9" x14ac:dyDescent="0.25">
      <c r="A10"/>
      <c r="B10"/>
      <c r="C10"/>
      <c r="D10" s="211"/>
      <c r="E10"/>
      <c r="F10"/>
      <c r="H10" s="62"/>
      <c r="I10" s="61"/>
    </row>
    <row r="11" spans="1:9" x14ac:dyDescent="0.25">
      <c r="A11"/>
      <c r="B11"/>
      <c r="C11"/>
      <c r="D11" s="211"/>
      <c r="E11"/>
      <c r="F11"/>
      <c r="H11" s="62"/>
      <c r="I11" s="61"/>
    </row>
    <row r="12" spans="1:9" x14ac:dyDescent="0.25">
      <c r="B12" s="1"/>
      <c r="C12" s="1"/>
      <c r="D12" s="65"/>
    </row>
    <row r="13" spans="1:9" x14ac:dyDescent="0.25">
      <c r="B13" s="1"/>
      <c r="C13" s="1"/>
      <c r="D13" s="65"/>
    </row>
    <row r="14" spans="1:9" x14ac:dyDescent="0.25">
      <c r="B14" s="1"/>
      <c r="C14" s="1"/>
      <c r="D14" s="65"/>
    </row>
    <row r="15" spans="1:9" ht="45" x14ac:dyDescent="0.25">
      <c r="A15" s="59" t="s">
        <v>102</v>
      </c>
      <c r="B15" s="59" t="s">
        <v>104</v>
      </c>
      <c r="C15" s="59" t="s">
        <v>112</v>
      </c>
      <c r="D15" s="221" t="s">
        <v>244</v>
      </c>
      <c r="E15" s="126" t="s">
        <v>248</v>
      </c>
      <c r="F15" s="125" t="s">
        <v>247</v>
      </c>
      <c r="G15" s="124" t="s">
        <v>270</v>
      </c>
      <c r="H15" s="124" t="s">
        <v>344</v>
      </c>
      <c r="I15" s="124" t="s">
        <v>245</v>
      </c>
    </row>
    <row r="16" spans="1:9" hidden="1" x14ac:dyDescent="0.25">
      <c r="A16" s="1" t="s">
        <v>115</v>
      </c>
      <c r="B16" s="1"/>
      <c r="C16" s="1"/>
      <c r="D16" s="68"/>
      <c r="E16"/>
      <c r="F16"/>
    </row>
    <row r="17" spans="1:11" x14ac:dyDescent="0.25">
      <c r="A17" s="1" t="s">
        <v>113</v>
      </c>
      <c r="B17" s="1" t="s">
        <v>107</v>
      </c>
      <c r="C17" s="1">
        <v>345</v>
      </c>
      <c r="D17" s="68">
        <v>1721.5804242788192</v>
      </c>
      <c r="E17" s="112">
        <f>SUM('Emissions and Costs'!X34:X37)</f>
        <v>991360.82814234088</v>
      </c>
      <c r="F17" s="115">
        <f>SUM('Emissions and Costs'!Z34:Z37)</f>
        <v>1137.9643519068975</v>
      </c>
      <c r="G17" s="67">
        <f>E17/C17</f>
        <v>2873.5096467893936</v>
      </c>
      <c r="H17" s="62">
        <f>D17-F17</f>
        <v>583.61607237192175</v>
      </c>
      <c r="I17" s="61">
        <f>E17/(D17-F17)</f>
        <v>1698.6523762330094</v>
      </c>
    </row>
    <row r="18" spans="1:11" x14ac:dyDescent="0.25">
      <c r="B18" s="1" t="s">
        <v>30</v>
      </c>
      <c r="C18" s="1">
        <v>8</v>
      </c>
      <c r="D18" s="68">
        <v>0</v>
      </c>
      <c r="E18" s="112">
        <f>SUM('Emissions and Costs'!X39:X42)</f>
        <v>0</v>
      </c>
      <c r="F18" s="133">
        <f>SUM('Emissions and Costs'!Z39:Z42)</f>
        <v>0</v>
      </c>
      <c r="G18" s="67">
        <f>E18/C18</f>
        <v>0</v>
      </c>
      <c r="H18" s="62">
        <f>D18-F18</f>
        <v>0</v>
      </c>
      <c r="I18" s="61"/>
    </row>
    <row r="19" spans="1:11" x14ac:dyDescent="0.25">
      <c r="B19" s="1" t="s">
        <v>108</v>
      </c>
      <c r="C19" s="1">
        <v>39</v>
      </c>
      <c r="D19" s="68">
        <v>44.133403058981237</v>
      </c>
      <c r="E19" s="112">
        <f>SUM('Emissions and Costs'!X44:X47)</f>
        <v>221773.25132407775</v>
      </c>
      <c r="F19" s="133">
        <f>SUM('Emissions and Costs'!Z44:Z47)</f>
        <v>0</v>
      </c>
      <c r="G19" s="67">
        <f>E19/C19</f>
        <v>5686.4936236943013</v>
      </c>
      <c r="H19" s="62">
        <f>D19-F19</f>
        <v>44.133403058981237</v>
      </c>
      <c r="I19" s="61">
        <f>E19/(D19-F19)</f>
        <v>5025.0657314527307</v>
      </c>
    </row>
    <row r="20" spans="1:11" ht="15.75" thickBot="1" x14ac:dyDescent="0.3">
      <c r="B20" s="1" t="s">
        <v>305</v>
      </c>
      <c r="C20" s="130">
        <v>20448</v>
      </c>
      <c r="D20" s="220">
        <v>23667.122159094281</v>
      </c>
      <c r="E20" s="113">
        <f>SUM('Emissions and Costs'!X29:X32)</f>
        <v>65694765.616643935</v>
      </c>
      <c r="F20" s="116">
        <f>SUM('Emissions and Costs'!Z29:Z32)</f>
        <v>517.17800904127512</v>
      </c>
      <c r="G20" s="127">
        <f>E20/C20</f>
        <v>3212.7721839125556</v>
      </c>
      <c r="H20" s="128">
        <f>D20-F20</f>
        <v>23149.944150053005</v>
      </c>
      <c r="I20" s="129">
        <f>E20/(D20-F20)</f>
        <v>2837.7936979382957</v>
      </c>
    </row>
    <row r="21" spans="1:11" x14ac:dyDescent="0.25">
      <c r="A21" s="1" t="s">
        <v>345</v>
      </c>
      <c r="B21" s="1"/>
      <c r="C21" s="1"/>
      <c r="D21" s="68">
        <v>25432.835986432081</v>
      </c>
      <c r="E21" s="114">
        <f>SUM(E17:E20)</f>
        <v>66907899.696110353</v>
      </c>
      <c r="F21" s="117">
        <f t="shared" ref="F21" si="1">SUM(F17:F20)</f>
        <v>1655.1423609481726</v>
      </c>
      <c r="H21" s="62">
        <f>D21-F21</f>
        <v>23777.693625483909</v>
      </c>
      <c r="I21" s="61">
        <f>E21/(D21-F21)</f>
        <v>2813.8935907728805</v>
      </c>
    </row>
    <row r="22" spans="1:11" x14ac:dyDescent="0.25">
      <c r="B22" s="1"/>
      <c r="D22" s="65"/>
      <c r="I22" s="61"/>
    </row>
    <row r="23" spans="1:11" x14ac:dyDescent="0.25">
      <c r="B23" s="1"/>
      <c r="C23" s="64"/>
      <c r="D23" s="65"/>
    </row>
    <row r="24" spans="1:11" ht="45" x14ac:dyDescent="0.25">
      <c r="A24" s="64" t="s">
        <v>246</v>
      </c>
      <c r="B24" s="1"/>
      <c r="C24" s="132" t="s">
        <v>112</v>
      </c>
      <c r="D24" s="212" t="s">
        <v>244</v>
      </c>
      <c r="E24" s="126" t="s">
        <v>248</v>
      </c>
      <c r="F24" s="125" t="s">
        <v>247</v>
      </c>
      <c r="H24" s="124" t="s">
        <v>344</v>
      </c>
      <c r="I24" s="124" t="s">
        <v>245</v>
      </c>
    </row>
    <row r="25" spans="1:11" x14ac:dyDescent="0.25">
      <c r="B25" s="1" t="str">
        <f t="shared" ref="B25:B26" si="2">B5</f>
        <v>Gathering and Boosting</v>
      </c>
      <c r="C25" s="1">
        <f t="shared" ref="C25:F25" si="3">C5+C17</f>
        <v>915</v>
      </c>
      <c r="D25" s="65">
        <f>D5+D17</f>
        <v>3899.2563109375515</v>
      </c>
      <c r="E25" s="61">
        <f>E5+E17</f>
        <v>3001042.1633680523</v>
      </c>
      <c r="F25" s="118">
        <f t="shared" si="3"/>
        <v>2743.1742916754524</v>
      </c>
      <c r="I25" s="65"/>
    </row>
    <row r="26" spans="1:11" x14ac:dyDescent="0.25">
      <c r="B26" s="1" t="str">
        <f t="shared" si="2"/>
        <v>Natural Gas Processing</v>
      </c>
      <c r="C26" s="1">
        <f t="shared" ref="C26:F26" si="4">C6+C18</f>
        <v>48</v>
      </c>
      <c r="D26" s="65">
        <f t="shared" si="4"/>
        <v>0</v>
      </c>
      <c r="E26" s="61">
        <f t="shared" si="4"/>
        <v>0</v>
      </c>
      <c r="F26" s="60">
        <f t="shared" si="4"/>
        <v>0</v>
      </c>
    </row>
    <row r="27" spans="1:11" x14ac:dyDescent="0.25">
      <c r="B27" s="1" t="str">
        <f>B7</f>
        <v>Transmission Compressor Station</v>
      </c>
      <c r="C27" s="1">
        <f t="shared" ref="C27:F28" si="5">C7+C19</f>
        <v>68</v>
      </c>
      <c r="D27" s="65">
        <f t="shared" si="5"/>
        <v>76.981801587131372</v>
      </c>
      <c r="E27" s="61">
        <f t="shared" si="5"/>
        <v>386681.56641121249</v>
      </c>
      <c r="F27" s="60">
        <f t="shared" si="5"/>
        <v>0</v>
      </c>
      <c r="H27" s="62">
        <f>D27-F27</f>
        <v>76.981801587131372</v>
      </c>
      <c r="I27" s="61">
        <f>E27/(D27-F27)</f>
        <v>5023.0256819015776</v>
      </c>
    </row>
    <row r="28" spans="1:11" ht="15.75" thickBot="1" x14ac:dyDescent="0.3">
      <c r="B28" s="1" t="str">
        <f>B8</f>
        <v>Wellhead/Tank Battery</v>
      </c>
      <c r="C28" s="130">
        <f t="shared" si="5"/>
        <v>47937</v>
      </c>
      <c r="D28" s="210">
        <f t="shared" si="5"/>
        <v>30630.984932557494</v>
      </c>
      <c r="E28" s="129">
        <f t="shared" si="5"/>
        <v>82650425.672255203</v>
      </c>
      <c r="F28" s="131">
        <f t="shared" si="5"/>
        <v>517.17800904127512</v>
      </c>
      <c r="G28" s="130"/>
      <c r="H28" s="128">
        <f>D28-F28</f>
        <v>30113.806923516218</v>
      </c>
      <c r="I28" s="129">
        <f>E28/(D28-F28)</f>
        <v>2744.6023640309832</v>
      </c>
    </row>
    <row r="29" spans="1:11" x14ac:dyDescent="0.25">
      <c r="B29" s="123" t="s">
        <v>151</v>
      </c>
      <c r="C29" s="1"/>
      <c r="D29" s="65">
        <f>D9+D21</f>
        <v>34607.223045082181</v>
      </c>
      <c r="E29" s="61">
        <f>E9+E21</f>
        <v>86038149.402034461</v>
      </c>
      <c r="F29" s="118">
        <f>F9+F21</f>
        <v>3260.3523007167278</v>
      </c>
      <c r="H29" s="62">
        <f>D29-F29</f>
        <v>31346.870744365453</v>
      </c>
      <c r="I29" s="61">
        <f>E29/(D29-F29)</f>
        <v>2744.7125457490738</v>
      </c>
      <c r="K29" s="138"/>
    </row>
    <row r="30" spans="1:11" x14ac:dyDescent="0.25">
      <c r="B30" s="1"/>
      <c r="C30" s="1"/>
      <c r="D30" s="69"/>
      <c r="F30" s="66"/>
      <c r="H30" s="62"/>
      <c r="I30" s="61"/>
    </row>
    <row r="31" spans="1:11" x14ac:dyDescent="0.25">
      <c r="B31" s="1"/>
      <c r="C31" s="1"/>
      <c r="D31" s="138"/>
      <c r="H31" s="62"/>
      <c r="I31" s="61"/>
    </row>
    <row r="32" spans="1:11" x14ac:dyDescent="0.25">
      <c r="B32" s="1"/>
      <c r="C32" s="1"/>
      <c r="H32" s="65"/>
      <c r="I32" s="61"/>
    </row>
    <row r="33" spans="2:9" x14ac:dyDescent="0.25">
      <c r="B33" s="1"/>
      <c r="C33" s="1"/>
    </row>
    <row r="34" spans="2:9" x14ac:dyDescent="0.25">
      <c r="B34" s="1"/>
      <c r="C34" s="1"/>
      <c r="I34" s="61"/>
    </row>
  </sheetData>
  <sheetProtection algorithmName="SHA-512" hashValue="342BspXAv4MHnY+Y3KYVgdY+WbJtREs1ngmcSpt+dPyfSwxkYLkep4g81NAmnh8mY6nus+YbUqCy/ioqJj3j/w==" saltValue="5evXa5c2/WgMOKYM1AaNgA==" spinCount="100000" sheet="1" objects="1" scenarios="1"/>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Facility Data</vt:lpstr>
      <vt:lpstr>Study Data</vt:lpstr>
      <vt:lpstr>Emissions and Costs</vt:lpstr>
      <vt:lpstr>Summary Pivot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Treimel</dc:creator>
  <cp:lastModifiedBy>Kerwin Singleton</cp:lastModifiedBy>
  <dcterms:created xsi:type="dcterms:W3CDTF">2021-03-31T15:43:40Z</dcterms:created>
  <dcterms:modified xsi:type="dcterms:W3CDTF">2021-06-08T16:26:05Z</dcterms:modified>
</cp:coreProperties>
</file>