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nmgov.sharepoint.com/sites/ENV-CTFP/Shared Documents/OUTRCH/WBST/Assets/Subsite_GuidanceDocs/"/>
    </mc:Choice>
  </mc:AlternateContent>
  <xr:revisionPtr revIDLastSave="43" documentId="8_{0BF5644E-D28B-4FA3-B660-A66D6BD2EC37}" xr6:coauthVersionLast="47" xr6:coauthVersionMax="47" xr10:uidLastSave="{CF8CA475-BE3C-4EA2-9C84-E76FA2924816}"/>
  <bookViews>
    <workbookView xWindow="57480" yWindow="-120" windowWidth="29040" windowHeight="15720" xr2:uid="{00000000-000D-0000-FFFF-FFFF00000000}"/>
  </bookViews>
  <sheets>
    <sheet name="Start here" sheetId="12" r:id="rId1"/>
    <sheet name="Calculator" sheetId="3" r:id="rId2"/>
    <sheet name="(A) Capacity and Use" sheetId="6" r:id="rId3"/>
    <sheet name="(B) CI Standard" sheetId="7" r:id="rId4"/>
    <sheet name="(C) StatewideGridAvg" sheetId="9" r:id="rId5"/>
    <sheet name="(D) GenMix_CI" sheetId="10" r:id="rId6"/>
    <sheet name="(E) EF_Tables" sheetId="11" r:id="rId7"/>
    <sheet name="(F) Credit Price_nom" sheetId="2" r:id="rId8"/>
    <sheet name="(G) Inflation" sheetId="8" r:id="rId9"/>
    <sheet name="(H) OptionLists" sheetId="13" r:id="rId10"/>
  </sheets>
  <definedNames>
    <definedName name="Capacity__DCFC">'(A) Capacity and Use'!$B$5:$B$8</definedName>
    <definedName name="Capacity__Level2">'(A) Capacity and Use'!$A$5:$A$8</definedName>
    <definedName name="DailyUse__DCFC">'(A) Capacity and Use'!$D$5:$D$8</definedName>
    <definedName name="DailyUse__Level2">'(A) Capacity and Use'!$C$5:$C$8</definedName>
    <definedName name="GridCIMulti">'(H) OptionLists'!$B$6:$B$9</definedName>
    <definedName name="GridCISingle">'(H) OptionLists'!$A$6:$A$8</definedName>
    <definedName name="Inflation">'(G) Inflation'!$A$5:$A$9</definedName>
    <definedName name="NoInflation">'(G) Inflation'!$A$22</definedName>
    <definedName name="PricesMulti">'(H) OptionLists'!$E$6:$E$9</definedName>
    <definedName name="PricesSingle">'(H) OptionLists'!$D$6:$D$8</definedName>
    <definedName name="SingleYear">'(B) CI Standard'!$A$21</definedName>
    <definedName name="Years">'(B) CI Standard'!$A$5:$A$19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3" l="1"/>
  <c r="I5" i="3"/>
  <c r="E6" i="3" a="1"/>
  <c r="E6" i="3" s="1"/>
  <c r="A26" i="3"/>
  <c r="I11" i="8"/>
  <c r="J11" i="8" s="1"/>
  <c r="K11" i="8" s="1"/>
  <c r="L11" i="8" s="1"/>
  <c r="M11" i="8" s="1"/>
  <c r="A21" i="2"/>
  <c r="A22" i="2" s="1"/>
  <c r="A23" i="2" s="1"/>
  <c r="A24" i="2" s="1"/>
  <c r="A25" i="2" s="1"/>
  <c r="A26" i="2" s="1"/>
  <c r="A27" i="2" s="1"/>
  <c r="A28" i="2" s="1"/>
  <c r="A29" i="2" s="1"/>
  <c r="A30" i="2" s="1"/>
  <c r="A28" i="3"/>
  <c r="E20" i="3" a="1"/>
  <c r="E20" i="3" s="1"/>
  <c r="E19" i="3" a="1"/>
  <c r="E19" i="3" s="1"/>
  <c r="E18" i="3" a="1"/>
  <c r="E18" i="3" s="1"/>
  <c r="E17" i="3" a="1"/>
  <c r="E17" i="3" s="1"/>
  <c r="E16" i="3" a="1"/>
  <c r="E16" i="3" s="1"/>
  <c r="E15" i="3" a="1"/>
  <c r="E15" i="3" s="1"/>
  <c r="E14" i="3" a="1"/>
  <c r="E14" i="3" s="1"/>
  <c r="E13" i="3" a="1"/>
  <c r="E13" i="3" s="1"/>
  <c r="E12" i="3" a="1"/>
  <c r="E12" i="3" s="1"/>
  <c r="E11" i="3" a="1"/>
  <c r="E11" i="3" s="1"/>
  <c r="E10" i="3" a="1"/>
  <c r="E10" i="3" s="1"/>
  <c r="E9" i="3" a="1"/>
  <c r="E9" i="3" s="1"/>
  <c r="E8" i="3" a="1"/>
  <c r="E8" i="3" s="1"/>
  <c r="E7" i="3" a="1"/>
  <c r="E7" i="3" s="1"/>
  <c r="A29" i="3"/>
  <c r="C26" i="3"/>
  <c r="B21" i="10"/>
  <c r="B20" i="10"/>
  <c r="B19" i="10"/>
  <c r="B18" i="10"/>
  <c r="B17" i="10"/>
  <c r="B16" i="10"/>
  <c r="B15" i="10"/>
  <c r="B14" i="10"/>
  <c r="B13" i="10"/>
  <c r="B12" i="10"/>
  <c r="B11" i="10"/>
  <c r="B10" i="10"/>
  <c r="B9" i="10"/>
  <c r="B8" i="10"/>
  <c r="B7" i="10"/>
  <c r="B6" i="10"/>
  <c r="A27" i="3"/>
  <c r="A30" i="3"/>
  <c r="A31" i="3"/>
  <c r="A32" i="3"/>
  <c r="A33" i="3"/>
  <c r="A34" i="3"/>
  <c r="A35" i="3"/>
  <c r="A36" i="3"/>
  <c r="A37" i="3"/>
  <c r="A38" i="3"/>
  <c r="A39" i="3"/>
  <c r="A40" i="3"/>
  <c r="A41" i="3"/>
  <c r="P31" i="11"/>
  <c r="O31" i="11"/>
  <c r="N30" i="11"/>
  <c r="M30" i="11"/>
  <c r="L30" i="11"/>
  <c r="K30" i="11"/>
  <c r="J30" i="11"/>
  <c r="I30" i="11"/>
  <c r="H30" i="11"/>
  <c r="G30" i="11"/>
  <c r="F30" i="11"/>
  <c r="E30" i="11"/>
  <c r="C30" i="11"/>
  <c r="D18" i="10" s="1"/>
  <c r="B30" i="11"/>
  <c r="C18" i="10" s="1"/>
  <c r="N29" i="11"/>
  <c r="M29" i="11"/>
  <c r="L29" i="11"/>
  <c r="K29" i="11"/>
  <c r="J29" i="11"/>
  <c r="I29" i="11"/>
  <c r="H29" i="11"/>
  <c r="G29" i="11"/>
  <c r="F29" i="11"/>
  <c r="E29" i="11"/>
  <c r="C29" i="11"/>
  <c r="B29" i="11"/>
  <c r="P28" i="11"/>
  <c r="O28" i="11"/>
  <c r="P27" i="11"/>
  <c r="O27" i="11"/>
  <c r="P26" i="11"/>
  <c r="O26" i="11"/>
  <c r="P25" i="11"/>
  <c r="O25" i="11"/>
  <c r="P24" i="11"/>
  <c r="O24" i="11"/>
  <c r="P23" i="11"/>
  <c r="O23" i="11"/>
  <c r="P22" i="11"/>
  <c r="O22" i="11"/>
  <c r="P21" i="11"/>
  <c r="O21" i="11"/>
  <c r="P20" i="11"/>
  <c r="O20" i="11"/>
  <c r="P19" i="11"/>
  <c r="O19" i="11"/>
  <c r="O18" i="11"/>
  <c r="N18" i="11"/>
  <c r="M18" i="11"/>
  <c r="L18" i="11"/>
  <c r="K18" i="11"/>
  <c r="J18" i="11"/>
  <c r="C18" i="11"/>
  <c r="D6" i="10" s="1"/>
  <c r="B26" i="10"/>
  <c r="D19" i="10"/>
  <c r="C19" i="10"/>
  <c r="D16" i="10"/>
  <c r="C16" i="10"/>
  <c r="D15" i="10"/>
  <c r="C15" i="10"/>
  <c r="D14" i="10"/>
  <c r="C14" i="10"/>
  <c r="D13" i="10"/>
  <c r="C13" i="10"/>
  <c r="D12" i="10"/>
  <c r="C12" i="10"/>
  <c r="D11" i="10"/>
  <c r="C11" i="10"/>
  <c r="D10" i="10"/>
  <c r="C10" i="10"/>
  <c r="D9" i="10"/>
  <c r="C9" i="10"/>
  <c r="D8" i="10"/>
  <c r="C8" i="10"/>
  <c r="D7" i="10"/>
  <c r="C7" i="10"/>
  <c r="C6" i="10"/>
  <c r="B16" i="8"/>
  <c r="C16" i="8" s="1"/>
  <c r="D16" i="8" s="1"/>
  <c r="E16" i="8" s="1"/>
  <c r="F16" i="8" s="1"/>
  <c r="B15" i="8"/>
  <c r="C15" i="8" s="1"/>
  <c r="D15" i="8" s="1"/>
  <c r="E15" i="8" s="1"/>
  <c r="F15" i="8" s="1"/>
  <c r="B14" i="8"/>
  <c r="C14" i="8" s="1"/>
  <c r="D14" i="8" s="1"/>
  <c r="E14" i="8" s="1"/>
  <c r="F14" i="8" s="1"/>
  <c r="B13" i="8"/>
  <c r="C13" i="8" s="1"/>
  <c r="D13" i="8" s="1"/>
  <c r="E13" i="8" s="1"/>
  <c r="F13" i="8" s="1"/>
  <c r="G9" i="8"/>
  <c r="G8" i="8"/>
  <c r="G7" i="8"/>
  <c r="G6" i="8"/>
  <c r="G5" i="8"/>
  <c r="M9" i="8"/>
  <c r="L9" i="8"/>
  <c r="K9" i="8"/>
  <c r="J9" i="8"/>
  <c r="I9" i="8"/>
  <c r="H9" i="8"/>
  <c r="M8" i="8"/>
  <c r="L8" i="8"/>
  <c r="K8" i="8"/>
  <c r="J8" i="8"/>
  <c r="I8" i="8"/>
  <c r="H8" i="8"/>
  <c r="M7" i="8"/>
  <c r="L7" i="8"/>
  <c r="K7" i="8"/>
  <c r="J7" i="8"/>
  <c r="I7" i="8"/>
  <c r="H7" i="8"/>
  <c r="M6" i="8"/>
  <c r="L6" i="8"/>
  <c r="K6" i="8"/>
  <c r="J6" i="8"/>
  <c r="I6" i="8"/>
  <c r="H6" i="8"/>
  <c r="M5" i="8"/>
  <c r="L5" i="8"/>
  <c r="K5" i="8"/>
  <c r="J5" i="8"/>
  <c r="I5" i="8"/>
  <c r="H5" i="8"/>
  <c r="B12" i="8"/>
  <c r="C12" i="8" s="1"/>
  <c r="D12" i="8" s="1"/>
  <c r="E12" i="8" s="1"/>
  <c r="I4" i="8"/>
  <c r="C5" i="2"/>
  <c r="G16" i="8" l="1"/>
  <c r="H16" i="8" s="1"/>
  <c r="I16" i="8" s="1"/>
  <c r="J16" i="8" s="1"/>
  <c r="K16" i="8" s="1"/>
  <c r="L16" i="8" s="1"/>
  <c r="M16" i="8" s="1"/>
  <c r="G15" i="8"/>
  <c r="H15" i="8" s="1"/>
  <c r="I15" i="8" s="1"/>
  <c r="J15" i="8" s="1"/>
  <c r="K15" i="8" s="1"/>
  <c r="L15" i="8" s="1"/>
  <c r="M15" i="8" s="1"/>
  <c r="G13" i="8"/>
  <c r="H13" i="8" s="1"/>
  <c r="I13" i="8" s="1"/>
  <c r="J13" i="8" s="1"/>
  <c r="K13" i="8" s="1"/>
  <c r="L13" i="8" s="1"/>
  <c r="M13" i="8" s="1"/>
  <c r="G14" i="8"/>
  <c r="H14" i="8" s="1"/>
  <c r="I14" i="8" s="1"/>
  <c r="J14" i="8" s="1"/>
  <c r="K14" i="8" s="1"/>
  <c r="L14" i="8" s="1"/>
  <c r="M14" i="8" s="1"/>
  <c r="Q19" i="11"/>
  <c r="B23" i="10"/>
  <c r="F18" i="10"/>
  <c r="E18" i="10"/>
  <c r="F6" i="10"/>
  <c r="F19" i="10"/>
  <c r="E19" i="10"/>
  <c r="F16" i="10"/>
  <c r="E16" i="10"/>
  <c r="F15" i="10"/>
  <c r="E15" i="10"/>
  <c r="F14" i="10"/>
  <c r="E14" i="10"/>
  <c r="F13" i="10"/>
  <c r="E13" i="10"/>
  <c r="F12" i="10"/>
  <c r="E12" i="10"/>
  <c r="F11" i="10"/>
  <c r="E11" i="10"/>
  <c r="F10" i="10"/>
  <c r="E10" i="10"/>
  <c r="F9" i="10"/>
  <c r="E9" i="10"/>
  <c r="F8" i="10"/>
  <c r="E8" i="10"/>
  <c r="F7" i="10"/>
  <c r="E7" i="10"/>
  <c r="E6" i="10"/>
  <c r="Q31" i="11"/>
  <c r="Q24" i="11"/>
  <c r="P18" i="11"/>
  <c r="Q18" i="11" s="1"/>
  <c r="Q22" i="11"/>
  <c r="O30" i="11"/>
  <c r="Q23" i="11"/>
  <c r="Q21" i="11"/>
  <c r="Q25" i="11"/>
  <c r="Q27" i="11"/>
  <c r="P30" i="11"/>
  <c r="Q26" i="11"/>
  <c r="Q28" i="11"/>
  <c r="Q20" i="11"/>
  <c r="N32" i="11"/>
  <c r="N33" i="11"/>
  <c r="M33" i="11"/>
  <c r="M32" i="11"/>
  <c r="L32" i="11"/>
  <c r="L33" i="11"/>
  <c r="K32" i="11"/>
  <c r="K33" i="11"/>
  <c r="J32" i="11"/>
  <c r="J33" i="11"/>
  <c r="P29" i="11"/>
  <c r="I32" i="11"/>
  <c r="I33" i="11"/>
  <c r="H32" i="11"/>
  <c r="H33" i="11"/>
  <c r="G32" i="11"/>
  <c r="G33" i="11"/>
  <c r="F32" i="11"/>
  <c r="F33" i="11"/>
  <c r="E32" i="11"/>
  <c r="E33" i="11"/>
  <c r="O29" i="11"/>
  <c r="C32" i="11"/>
  <c r="D20" i="10" s="1"/>
  <c r="F20" i="10" s="1"/>
  <c r="C33" i="11"/>
  <c r="D21" i="10" s="1"/>
  <c r="F21" i="10" s="1"/>
  <c r="D17" i="10"/>
  <c r="F17" i="10" s="1"/>
  <c r="B32" i="11"/>
  <c r="C20" i="10" s="1"/>
  <c r="E20" i="10" s="1"/>
  <c r="B33" i="11"/>
  <c r="C21" i="10" s="1"/>
  <c r="E21" i="10" s="1"/>
  <c r="C17" i="10"/>
  <c r="E17" i="10" s="1"/>
  <c r="D5" i="2"/>
  <c r="F12" i="8"/>
  <c r="G12" i="8" s="1"/>
  <c r="H12" i="8" s="1"/>
  <c r="I12" i="8" s="1"/>
  <c r="J12" i="8" s="1"/>
  <c r="K12" i="8" s="1"/>
  <c r="L12" i="8" s="1"/>
  <c r="M12" i="8" s="1"/>
  <c r="J4" i="8"/>
  <c r="Q30" i="11" l="1"/>
  <c r="O32" i="11"/>
  <c r="O33" i="11"/>
  <c r="Q29" i="11"/>
  <c r="P32" i="11"/>
  <c r="P33" i="11"/>
  <c r="G33" i="10"/>
  <c r="G35" i="10"/>
  <c r="G36" i="10"/>
  <c r="G37" i="10"/>
  <c r="G34" i="10"/>
  <c r="G45" i="10"/>
  <c r="G46" i="10"/>
  <c r="G47" i="10"/>
  <c r="G48" i="10"/>
  <c r="G49" i="10"/>
  <c r="B33" i="10"/>
  <c r="B34" i="10"/>
  <c r="B35" i="10"/>
  <c r="B36" i="10"/>
  <c r="B37" i="10"/>
  <c r="B48" i="10"/>
  <c r="B45" i="10"/>
  <c r="B46" i="10"/>
  <c r="B47" i="10"/>
  <c r="B49" i="10"/>
  <c r="C33" i="10"/>
  <c r="C34" i="10"/>
  <c r="C36" i="10"/>
  <c r="C35" i="10"/>
  <c r="C37" i="10"/>
  <c r="C48" i="10"/>
  <c r="C45" i="10"/>
  <c r="C46" i="10"/>
  <c r="C47" i="10"/>
  <c r="C49" i="10"/>
  <c r="D33" i="10"/>
  <c r="D34" i="10"/>
  <c r="D35" i="10"/>
  <c r="D36" i="10"/>
  <c r="D37" i="10"/>
  <c r="D48" i="10"/>
  <c r="D45" i="10"/>
  <c r="D46" i="10"/>
  <c r="D47" i="10"/>
  <c r="D49" i="10"/>
  <c r="B25" i="10"/>
  <c r="B24" i="10"/>
  <c r="E5" i="2"/>
  <c r="K4" i="8"/>
  <c r="Q33" i="11" l="1"/>
  <c r="Q32" i="11"/>
  <c r="H33" i="10"/>
  <c r="H35" i="10"/>
  <c r="H36" i="10"/>
  <c r="H37" i="10"/>
  <c r="H34" i="10"/>
  <c r="B27" i="10"/>
  <c r="F45" i="10"/>
  <c r="F46" i="10"/>
  <c r="F47" i="10"/>
  <c r="F48" i="10"/>
  <c r="F49" i="10"/>
  <c r="F33" i="10"/>
  <c r="F36" i="10"/>
  <c r="F37" i="10"/>
  <c r="F34" i="10"/>
  <c r="F35" i="10"/>
  <c r="H49" i="10"/>
  <c r="H48" i="10"/>
  <c r="H47" i="10"/>
  <c r="H46" i="10"/>
  <c r="H45" i="10"/>
  <c r="E49" i="10"/>
  <c r="E48" i="10"/>
  <c r="E47" i="10"/>
  <c r="E46" i="10"/>
  <c r="E45" i="10"/>
  <c r="E37" i="10"/>
  <c r="E36" i="10"/>
  <c r="E35" i="10"/>
  <c r="E34" i="10"/>
  <c r="E33" i="10"/>
  <c r="F5" i="2"/>
  <c r="L4" i="8"/>
  <c r="F13" i="3" l="1"/>
  <c r="F7" i="3"/>
  <c r="F10" i="3"/>
  <c r="F6" i="3"/>
  <c r="F15" i="3"/>
  <c r="F12" i="3"/>
  <c r="F9" i="3"/>
  <c r="F11" i="3"/>
  <c r="F8" i="3"/>
  <c r="F16" i="3"/>
  <c r="F14" i="3"/>
  <c r="F18" i="3"/>
  <c r="F19" i="3"/>
  <c r="F20" i="3"/>
  <c r="F17" i="3"/>
  <c r="I45" i="10"/>
  <c r="I47" i="10"/>
  <c r="I48" i="10"/>
  <c r="I49" i="10"/>
  <c r="I46" i="10"/>
  <c r="I33" i="10"/>
  <c r="I36" i="10"/>
  <c r="I37" i="10"/>
  <c r="I34" i="10"/>
  <c r="I35" i="10"/>
  <c r="G5" i="2"/>
  <c r="M4" i="8"/>
  <c r="I38" i="10" l="1"/>
  <c r="I39" i="10" s="1"/>
  <c r="I40" i="10" s="1"/>
  <c r="I50" i="10"/>
  <c r="I51" i="10" s="1"/>
  <c r="H5" i="2"/>
  <c r="J52" i="10" l="1"/>
  <c r="I5" i="2"/>
  <c r="J5" i="2" l="1"/>
  <c r="K5" i="2" l="1"/>
  <c r="L5" i="2" l="1"/>
  <c r="G7" i="3" l="1"/>
  <c r="H7" i="3" s="1"/>
  <c r="G10" i="3"/>
  <c r="H10" i="3" s="1"/>
  <c r="G9" i="3"/>
  <c r="H9" i="3" s="1"/>
  <c r="G13" i="3"/>
  <c r="H13" i="3" s="1"/>
  <c r="G8" i="3"/>
  <c r="H8" i="3" s="1"/>
  <c r="G11" i="3"/>
  <c r="H11" i="3" s="1"/>
  <c r="G12" i="3"/>
  <c r="H12" i="3" s="1"/>
  <c r="G14" i="3"/>
  <c r="H14" i="3" s="1"/>
  <c r="G6" i="3"/>
  <c r="H6" i="3" s="1"/>
  <c r="G15" i="3"/>
  <c r="H15" i="3" s="1"/>
  <c r="G19" i="3"/>
  <c r="H19" i="3" s="1"/>
  <c r="G17" i="3"/>
  <c r="H17" i="3" s="1"/>
  <c r="G18" i="3"/>
  <c r="H18" i="3" s="1"/>
  <c r="G16" i="3"/>
  <c r="H16" i="3" s="1"/>
  <c r="G20" i="3"/>
  <c r="H20" i="3" s="1"/>
  <c r="H2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Ford, Michael, ENV</author>
  </authors>
  <commentList>
    <comment ref="B16" authorId="0" shapeId="0" xr:uid="{98AF203E-2E26-4A1A-B8D3-99A03D6E68DD}">
      <text>
        <r>
          <rPr>
            <sz val="9"/>
            <color indexed="81"/>
            <rFont val="Tahoma"/>
            <family val="2"/>
          </rPr>
          <t>1. The "Statewide grid average" option uses projections from the Benefits-Cost Analysis that account for reduces annual grid carbon intensity under the Energy Transition Act.
2. If you select "Gen mix," you may select, after scrolling down to Cells C26 and below, the percentage of power by source.
3. If you select "Manual (single CI)," you will need to enter your desired CI for grid electricity in Cells C16.
4. If you select "Manual (Different annual CIs),” you will need to enter the CI for each year in Column I.</t>
        </r>
      </text>
    </comment>
    <comment ref="B19" authorId="0" shapeId="0" xr:uid="{9C12938B-6E26-419C-B72D-0C579D3329F4}">
      <text>
        <r>
          <rPr>
            <sz val="9"/>
            <color indexed="81"/>
            <rFont val="Tahoma"/>
            <family val="2"/>
          </rPr>
          <t xml:space="preserve">1. The "Benefit-Cost Analysis" option refers to price projections that assume the continuation of state and federal EV-supporting policies in New Mexico through 2040. Credit prices fall to zero by 2036 due to credit supply that exceeds compliance obligations.
2. The "Rebuttal Sensitivity Analysis" option refers to price projections that assume the rollback of state and federal EV-supporting policies in New Mexico through 2040. Credit prices remain positive through 2040.
More information on each scenario is available in the 'CreditPrice_Nom' sheet.
3. If you select "Manual (single price),” you will need to enter your desired credit price in Cell C19.
4. If you select "Manual (different annual prices),” you will need to enter the credit price for each year in Column J.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NMED</author>
  </authors>
  <commentList>
    <comment ref="B26" authorId="0" shapeId="0" xr:uid="{C8896AF2-49A6-46DC-84B7-B19B94580712}">
      <text>
        <r>
          <rPr>
            <sz val="10"/>
            <rFont val="Arial"/>
            <family val="2"/>
          </rPr>
          <t>Default Western regional T&amp;D loss factor from NM-GREET Bio_electricity!C41. Replace if an approved EDU-specific factor is adopted by NMED.</t>
        </r>
      </text>
    </comment>
    <comment ref="B27" authorId="0" shapeId="0" xr:uid="{9D5E8562-8273-48E9-A8B6-64E0AC953A0F}">
      <text>
        <r>
          <rPr>
            <sz val="10"/>
            <rFont val="Arial"/>
            <family val="2"/>
          </rPr>
          <t>Analytical WTW CI = (Upstream g/MJ + Direct g/MJ) / (1 - T&amp;D loss).</t>
        </r>
      </text>
    </comment>
    <comment ref="I33" authorId="0" shapeId="0" xr:uid="{189AFE46-7C17-46A4-A6E6-A6DCF4C600F3}">
      <text>
        <r>
          <rPr>
            <sz val="10"/>
            <rFont val="Arial"/>
            <family val="2"/>
          </rPr>
          <t>Placeholder - proxy pollutant-decomposition share used for display only; category total CI factors control the calculator.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NMED</author>
  </authors>
  <commentList>
    <comment ref="B12" authorId="0" shapeId="0" xr:uid="{61A78D66-88C4-4756-B82D-103F684BA777}">
      <text>
        <r>
          <rPr>
            <sz val="10"/>
            <rFont val="Arial"/>
            <family val="2"/>
          </rPr>
          <t>Default Western regional factor from NM-GREET Bio_electricity!C41. Use an approved EDU-specific factor if one is adopted.</t>
        </r>
      </text>
    </comment>
    <comment ref="B18" authorId="0" shapeId="0" xr:uid="{5B68DDAA-31C6-44F4-BA6F-694F5B789EE2}">
      <text>
        <r>
          <rPr>
            <sz val="10"/>
            <rFont val="Arial"/>
            <family val="2"/>
          </rPr>
          <t>Placeholder - not derived from NM-GREET or 20.2.92 NMAC; replace with official data when available.</t>
        </r>
      </text>
    </comment>
    <comment ref="C18" authorId="0" shapeId="0" xr:uid="{14B7CB7E-3CBD-4913-A377-FCC5FB913C68}">
      <text>
        <r>
          <rPr>
            <sz val="10"/>
            <rFont val="Arial"/>
            <family val="2"/>
          </rPr>
          <t>Placeholder - not derived from NM-GREET or 20.2.92 NMAC; replace with official data when available.</t>
        </r>
      </text>
    </comment>
    <comment ref="D18" authorId="0" shapeId="0" xr:uid="{0BF4274B-F34B-4DD4-B010-4A79650C8B50}">
      <text>
        <r>
          <rPr>
            <sz val="10"/>
            <rFont val="Arial"/>
            <family val="2"/>
          </rPr>
          <t>Placeholder - not derived from NM-GREET or 20.2.92 NMAC; replace with official data when available.</t>
        </r>
      </text>
    </comment>
    <comment ref="B25" authorId="0" shapeId="0" xr:uid="{A189802F-BACB-4FD4-95FC-C0F5A00875F5}">
      <text>
        <r>
          <rPr>
            <sz val="10"/>
            <rFont val="Arial"/>
            <family val="2"/>
          </rPr>
          <t>Placeholder - not derived from NM-GREET or 20.2.92 NMAC; replace with official data when available.</t>
        </r>
      </text>
    </comment>
    <comment ref="C25" authorId="0" shapeId="0" xr:uid="{AEF732E7-B2D8-4C0D-8051-6645C45EBCA9}">
      <text>
        <r>
          <rPr>
            <sz val="10"/>
            <rFont val="Arial"/>
            <family val="2"/>
          </rPr>
          <t>Placeholder - not derived from NM-GREET or 20.2.92 NMAC; replace with official data when available.</t>
        </r>
      </text>
    </comment>
    <comment ref="D25" authorId="0" shapeId="0" xr:uid="{84657902-0C04-448C-88CB-9F34C723F42D}">
      <text>
        <r>
          <rPr>
            <sz val="10"/>
            <rFont val="Arial"/>
            <family val="2"/>
          </rPr>
          <t>Placeholder - not derived from NM-GREET or 20.2.92 NMAC; replace with official data when available.</t>
        </r>
      </text>
    </comment>
    <comment ref="B29" authorId="0" shapeId="0" xr:uid="{08FE3D48-4B9E-41E7-8241-9366262B66D2}">
      <text>
        <r>
          <rPr>
            <sz val="10"/>
            <rFont val="Arial"/>
            <family val="2"/>
          </rPr>
          <t>Placeholder — not derived directly from NM-GREET or 20.2.92 NMAC.</t>
        </r>
      </text>
    </comment>
    <comment ref="C29" authorId="0" shapeId="0" xr:uid="{EF55B777-D6F8-4CEC-AEC4-A5C1879B313B}">
      <text>
        <r>
          <rPr>
            <sz val="10"/>
            <rFont val="Arial"/>
            <family val="2"/>
          </rPr>
          <t>Placeholder — not derived directly from NM-GREET or 20.2.92 NMAC.</t>
        </r>
      </text>
    </comment>
    <comment ref="D29" authorId="0" shapeId="0" xr:uid="{EB9D1040-A4E6-4D51-B11D-359475AE9A28}">
      <text>
        <r>
          <rPr>
            <sz val="10"/>
            <rFont val="Arial"/>
            <family val="2"/>
          </rPr>
          <t>Placeholder - not derived from NM-GREET or 20.2.92 NMAC; replace with official data when available.</t>
        </r>
      </text>
    </comment>
    <comment ref="B30" authorId="0" shapeId="0" xr:uid="{20C6AFF0-5FD0-45D3-8988-DA5824F6C4AB}">
      <text>
        <r>
          <rPr>
            <sz val="10"/>
            <rFont val="Arial"/>
            <family val="2"/>
          </rPr>
          <t>Placeholder — not derived directly from NM-GREET or 20.2.92 NMAC.</t>
        </r>
      </text>
    </comment>
    <comment ref="C30" authorId="0" shapeId="0" xr:uid="{91749400-630F-4633-B6AB-D18E466541A6}">
      <text>
        <r>
          <rPr>
            <sz val="10"/>
            <rFont val="Arial"/>
            <family val="2"/>
          </rPr>
          <t>Placeholder — not derived directly from NM-GREET or 20.2.92 NMAC.</t>
        </r>
      </text>
    </comment>
    <comment ref="D30" authorId="0" shapeId="0" xr:uid="{B63F52C0-96DA-4E60-8F4C-8F8246EB9350}">
      <text>
        <r>
          <rPr>
            <sz val="10"/>
            <rFont val="Arial"/>
            <family val="2"/>
          </rPr>
          <t>Placeholder - not derived from NM-GREET or 20.2.92 NMAC; replace with official data when available.</t>
        </r>
      </text>
    </comment>
    <comment ref="B32" authorId="0" shapeId="0" xr:uid="{50762486-AD95-40D8-ABD3-A1F437DFAFB3}">
      <text>
        <r>
          <rPr>
            <sz val="10"/>
            <rFont val="Arial"/>
            <family val="2"/>
          </rPr>
          <t>Placeholder — not derived directly from NM-GREET or 20.2.92 NMAC.</t>
        </r>
      </text>
    </comment>
    <comment ref="C32" authorId="0" shapeId="0" xr:uid="{46E028FD-14F9-4683-8AB0-3C3B13C1F03B}">
      <text>
        <r>
          <rPr>
            <sz val="10"/>
            <rFont val="Arial"/>
            <family val="2"/>
          </rPr>
          <t>Placeholder — not derived directly from NM-GREET or 20.2.92 NMAC.</t>
        </r>
      </text>
    </comment>
    <comment ref="D32" authorId="0" shapeId="0" xr:uid="{E0744B47-7838-42E1-A438-E52A98B70829}">
      <text>
        <r>
          <rPr>
            <sz val="10"/>
            <rFont val="Arial"/>
            <family val="2"/>
          </rPr>
          <t>Placeholder - not derived from NM-GREET or 20.2.92 NMAC; replace with official data when available.</t>
        </r>
      </text>
    </comment>
    <comment ref="B33" authorId="0" shapeId="0" xr:uid="{8A375EEA-6466-4650-8110-907961F1E89E}">
      <text>
        <r>
          <rPr>
            <sz val="10"/>
            <rFont val="Arial"/>
            <family val="2"/>
          </rPr>
          <t>Placeholder — not derived directly from NM-GREET or 20.2.92 NMAC.</t>
        </r>
      </text>
    </comment>
    <comment ref="C33" authorId="0" shapeId="0" xr:uid="{397933AB-2596-4350-9546-A57B192E5D10}">
      <text>
        <r>
          <rPr>
            <sz val="10"/>
            <rFont val="Arial"/>
            <family val="2"/>
          </rPr>
          <t>Placeholder — not derived directly from NM-GREET or 20.2.92 NMAC.</t>
        </r>
      </text>
    </comment>
    <comment ref="D33" authorId="0" shapeId="0" xr:uid="{6CC59D17-EF66-4A7E-A21C-0BE470F9EDAC}">
      <text>
        <r>
          <rPr>
            <sz val="10"/>
            <rFont val="Arial"/>
            <family val="2"/>
          </rPr>
          <t>Placeholder - not derived from NM-GREET or 20.2.92 NMAC; replace with official data when available.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<sst xmlns="http://schemas.openxmlformats.org/spreadsheetml/2006/main" count="358" uniqueCount="216">
  <si>
    <t>Version: EV_Charging_Credit_Revenue_Calculator_v1</t>
  </si>
  <si>
    <t>Version: Final draft for QA/QC review | Release date: May 2026 | Owner: NMED Clean Transportation Fuel Program</t>
  </si>
  <si>
    <t>General notes</t>
  </si>
  <si>
    <r>
      <t xml:space="preserve">1. All calculation values and assumptions come from the published Clean Transportation Fuel Program rule under </t>
    </r>
    <r>
      <rPr>
        <u/>
        <sz val="10"/>
        <color rgb="FF0070C0"/>
        <rFont val="Lato"/>
        <family val="2"/>
      </rPr>
      <t>20.2.92 NMAC</t>
    </r>
    <r>
      <rPr>
        <sz val="10"/>
        <color theme="1"/>
        <rFont val="Lato"/>
        <family val="2"/>
      </rPr>
      <t xml:space="preserve"> and associated economic analyses.</t>
    </r>
  </si>
  <si>
    <t>2. The only sheet with values to populate is the Calculator tab. All other sheets contain input and parameter values and are for observation only.</t>
  </si>
  <si>
    <t>3. In this sheet and the Calculator sheet, superscript numbers refer to notes on each page. Superscript letters refer to rows referencing data from input assumption sheets (A)-(G).</t>
  </si>
  <si>
    <t>Calculator directions</t>
  </si>
  <si>
    <r>
      <t xml:space="preserve">1. In Column B of the Calculator sheet, select operating inputs in the </t>
    </r>
    <r>
      <rPr>
        <b/>
        <sz val="10"/>
        <color rgb="FFBF8F00"/>
        <rFont val="Lato"/>
        <family val="2"/>
      </rPr>
      <t>brown cells</t>
    </r>
    <r>
      <rPr>
        <sz val="10"/>
        <color theme="1"/>
        <rFont val="Lato"/>
        <family val="2"/>
      </rPr>
      <t>.</t>
    </r>
  </si>
  <si>
    <r>
      <t xml:space="preserve">2. Depending upon your selections in Column B, you may see </t>
    </r>
    <r>
      <rPr>
        <b/>
        <sz val="10"/>
        <color rgb="FFFFA168"/>
        <rFont val="Lato"/>
        <family val="2"/>
      </rPr>
      <t>orange cells</t>
    </r>
    <r>
      <rPr>
        <b/>
        <sz val="10"/>
        <color theme="1"/>
        <rFont val="Lato"/>
        <family val="2"/>
      </rPr>
      <t xml:space="preserve"> </t>
    </r>
    <r>
      <rPr>
        <sz val="10"/>
        <color theme="1"/>
        <rFont val="Lato"/>
        <family val="2"/>
      </rPr>
      <t>in Column C where manual input is required. If so, please populate those cells!</t>
    </r>
  </si>
  <si>
    <t>Calculator input notes</t>
  </si>
  <si>
    <r>
      <t>Grid carbon intensity - Row 16 of Calculator sheet</t>
    </r>
    <r>
      <rPr>
        <b/>
        <i/>
        <vertAlign val="superscript"/>
        <sz val="9"/>
        <color theme="1"/>
        <rFont val="Lato"/>
        <family val="2"/>
      </rPr>
      <t>C,D,E,H</t>
    </r>
  </si>
  <si>
    <t>1. The "Statewide grid average" option in Cell B16 uses projections from the Benefits-Cost Analysis that account for reduces annual grid carbon intensity under the Energy Transition Act.</t>
  </si>
  <si>
    <t>2. If you select "Gen mix" for grid carbon intensity in cell B16, you may select, after scrolling down to Cells C26 and below, the percentage of power by source.</t>
  </si>
  <si>
    <t>a. Only adjust these percentages if desired. Note that the total in Cell D26 should equal 100%.</t>
  </si>
  <si>
    <t>3. If you select "Manual (single CI)" for grid carbon intensity in cell B16, you will need to enter your desired CI for grid electricity in Cells C16.</t>
  </si>
  <si>
    <t>4. If you select "Manual (Different annual CIs)" for grid carbon intensity in cell B16, you will need to enter the CI for each year in Column I.</t>
  </si>
  <si>
    <r>
      <t>Credit price scenarios - Row 19 of Calculator sheet</t>
    </r>
    <r>
      <rPr>
        <b/>
        <i/>
        <vertAlign val="superscript"/>
        <sz val="9"/>
        <color theme="1"/>
        <rFont val="Lato"/>
        <family val="2"/>
      </rPr>
      <t>F,H</t>
    </r>
  </si>
  <si>
    <t>1. The "Benefit-Cost Analysis" option in Cell B19 refers to price projections that assume the continuation of state and federal EV-supporting policies in New Mexico through 2040.</t>
  </si>
  <si>
    <t>a. More information on each scenario is available in the 'CreditPrice_Nom' sheet.</t>
  </si>
  <si>
    <t>3. If you select "Manual (single price)" for CTFP credit prices in Cell B19, you will need to enter your desired credit price in Cell C19.</t>
  </si>
  <si>
    <t>4. If you select "Manual (different annual prices) for CTFP credit prices in Cell B19, you will need to enter the credit price for each year in Column J.</t>
  </si>
  <si>
    <t>Calculator sheet - For user input and results</t>
  </si>
  <si>
    <r>
      <t xml:space="preserve">As desired, select inputs from </t>
    </r>
    <r>
      <rPr>
        <b/>
        <sz val="11"/>
        <color theme="7" tint="-0.499984740745262"/>
        <rFont val="Lato"/>
        <family val="2"/>
      </rPr>
      <t>brown cells</t>
    </r>
    <r>
      <rPr>
        <b/>
        <sz val="11"/>
        <color theme="1"/>
        <rFont val="Lato"/>
        <family val="2"/>
      </rPr>
      <t xml:space="preserve"> in Column B. Populate any </t>
    </r>
    <r>
      <rPr>
        <b/>
        <sz val="11"/>
        <color rgb="FFFF7119"/>
        <rFont val="Lato"/>
        <family val="2"/>
      </rPr>
      <t>orange cells</t>
    </r>
    <r>
      <rPr>
        <b/>
        <sz val="11"/>
        <color theme="1"/>
        <rFont val="Lato"/>
        <family val="2"/>
      </rPr>
      <t xml:space="preserve"> in Column C. Observe revenue results in Column H.</t>
    </r>
  </si>
  <si>
    <t>Color legend:</t>
  </si>
  <si>
    <t>Results</t>
  </si>
  <si>
    <t>Input optional</t>
  </si>
  <si>
    <t>Year</t>
  </si>
  <si>
    <t>Fuel CI</t>
  </si>
  <si>
    <t>Credit price</t>
  </si>
  <si>
    <t>Revenue</t>
  </si>
  <si>
    <t>Input required</t>
  </si>
  <si>
    <t>Category or result - do not edit</t>
  </si>
  <si>
    <t>Inputs</t>
  </si>
  <si>
    <t>Operating info</t>
  </si>
  <si>
    <t>Input value if orange</t>
  </si>
  <si>
    <t>Charger type</t>
  </si>
  <si>
    <t>Vehicle class</t>
  </si>
  <si>
    <t>Number of chargers</t>
  </si>
  <si>
    <r>
      <t>Capacity per charger (kilowatts)</t>
    </r>
    <r>
      <rPr>
        <vertAlign val="superscript"/>
        <sz val="10"/>
        <color theme="1"/>
        <rFont val="Lato"/>
        <family val="2"/>
      </rPr>
      <t>A</t>
    </r>
  </si>
  <si>
    <r>
      <t>Average daily use (hours/day/charger)</t>
    </r>
    <r>
      <rPr>
        <vertAlign val="superscript"/>
        <sz val="10"/>
        <color theme="1"/>
        <rFont val="Lato"/>
        <family val="2"/>
      </rPr>
      <t>A</t>
    </r>
  </si>
  <si>
    <r>
      <t>Grid carbon intensity (gCO</t>
    </r>
    <r>
      <rPr>
        <vertAlign val="subscript"/>
        <sz val="10"/>
        <color theme="1"/>
        <rFont val="Lato"/>
        <family val="2"/>
      </rPr>
      <t>2</t>
    </r>
    <r>
      <rPr>
        <sz val="10"/>
        <color theme="1"/>
        <rFont val="Lato"/>
        <family val="2"/>
      </rPr>
      <t>e/MJ)</t>
    </r>
    <r>
      <rPr>
        <vertAlign val="superscript"/>
        <sz val="10"/>
        <color theme="1"/>
        <rFont val="Lato"/>
        <family val="2"/>
      </rPr>
      <t>1,C,D,E,H</t>
    </r>
  </si>
  <si>
    <t>Statewide grid average</t>
  </si>
  <si>
    <t>Financial info</t>
  </si>
  <si>
    <t>Revenue Year</t>
  </si>
  <si>
    <t>All years</t>
  </si>
  <si>
    <r>
      <t>Credit Price Scenario</t>
    </r>
    <r>
      <rPr>
        <vertAlign val="superscript"/>
        <sz val="10"/>
        <color theme="1"/>
        <rFont val="Lato"/>
        <family val="2"/>
      </rPr>
      <t>F,H</t>
    </r>
  </si>
  <si>
    <t>Benefit-Cost Analysis</t>
  </si>
  <si>
    <r>
      <t>Dollar type</t>
    </r>
    <r>
      <rPr>
        <vertAlign val="superscript"/>
        <sz val="10"/>
        <color theme="1"/>
        <rFont val="Lato"/>
        <family val="2"/>
      </rPr>
      <t>G</t>
    </r>
  </si>
  <si>
    <t>Real (input dollar year in Column C)</t>
  </si>
  <si>
    <r>
      <t>Inflation index</t>
    </r>
    <r>
      <rPr>
        <vertAlign val="superscript"/>
        <sz val="10"/>
        <color theme="1"/>
        <rFont val="Lato"/>
        <family val="2"/>
      </rPr>
      <t>2,G</t>
    </r>
  </si>
  <si>
    <t>Consumer Price Index</t>
  </si>
  <si>
    <t>Total</t>
  </si>
  <si>
    <r>
      <rPr>
        <i/>
        <vertAlign val="superscript"/>
        <sz val="10"/>
        <color theme="1"/>
        <rFont val="Lato"/>
        <family val="2"/>
      </rPr>
      <t xml:space="preserve">1 </t>
    </r>
    <r>
      <rPr>
        <i/>
        <sz val="10"/>
        <color theme="1"/>
        <rFont val="Lato"/>
        <family val="2"/>
      </rPr>
      <t>gCO</t>
    </r>
    <r>
      <rPr>
        <i/>
        <vertAlign val="subscript"/>
        <sz val="10"/>
        <color theme="1"/>
        <rFont val="Lato"/>
        <family val="2"/>
      </rPr>
      <t>2</t>
    </r>
    <r>
      <rPr>
        <i/>
        <sz val="10"/>
        <color theme="1"/>
        <rFont val="Lato"/>
        <family val="2"/>
      </rPr>
      <t>e/MJ = Grams of carbon dioxide equivalent lifecycle (well-to-wheel) greenhouse gas emissions per megajoule of useful energy consumed in a motor vehicle</t>
    </r>
  </si>
  <si>
    <r>
      <rPr>
        <i/>
        <vertAlign val="superscript"/>
        <sz val="10"/>
        <color theme="1"/>
        <rFont val="Lato"/>
        <family val="2"/>
      </rPr>
      <t xml:space="preserve">2 </t>
    </r>
    <r>
      <rPr>
        <i/>
        <sz val="10"/>
        <color theme="1"/>
        <rFont val="Lato"/>
        <family val="2"/>
      </rPr>
      <t>"Core" inflation indexes exclude the cost of food and energy</t>
    </r>
  </si>
  <si>
    <t>Capacity and use sheet - For information and viewing only</t>
  </si>
  <si>
    <t>Shows Calculator sheet options for charger capacity and hours of daily use, with source references.</t>
  </si>
  <si>
    <t>Capacity, Level-2 
(kilowatts)</t>
  </si>
  <si>
    <t>Capacity, DCFC 
(kilowatts)</t>
  </si>
  <si>
    <t>Daily use, Level-2 
(Hours per day)</t>
  </si>
  <si>
    <t>Daily use, DCFC
(Hours per day)</t>
  </si>
  <si>
    <t>Manual</t>
  </si>
  <si>
    <t>Estimates from Pritchard, Ewen, Brennan Borlaug, Fan Yan, and Jeff Gonder. "Evaluating Electric Vehicle Public Charging Utilization in 
the United States using the EV WATTS dataset."</t>
  </si>
  <si>
    <t>National Renewabler Energy Laboratory. October 2023.  NREL/CP-5400-85902. https://docs.nrel.gov/docs/fy24osti/85902.pdf.</t>
  </si>
  <si>
    <t>Low and high capacity estimates from text on page 4. Midpoint chosen for average.</t>
  </si>
  <si>
    <t>"These include 100,765 level 2 (L2) ports, which use 240/208Volt alternating current (AC) electricity and deliver 7.2 to 19.2 kilowatts (kW) of power (around 25-75 miles of range added per hour)…"</t>
  </si>
  <si>
    <t>https://docs.nrel.gov/docs/fy24osti/85902.pdf#page=4</t>
  </si>
  <si>
    <t>Average use estimates from time series graphs on page 8. Low use equal to half of the average, high use equal to double the average.</t>
  </si>
  <si>
    <t>https://docs.nrel.gov/docs/fy24osti/85902.pdf#page=8</t>
  </si>
  <si>
    <t>CI Standard sheet - For information and viewing only</t>
  </si>
  <si>
    <t>Shows the carbon intensity (CI) standard by year used for Calculator sheet credit calculations.</t>
  </si>
  <si>
    <t>Gasoline</t>
  </si>
  <si>
    <t>Diesel</t>
  </si>
  <si>
    <t>2040 and subsequent years</t>
  </si>
  <si>
    <t>StatewideGridAvg sheet - For information and viewing only</t>
  </si>
  <si>
    <t>Shows the carbon intensity of electricity dispensed from EV chargers when "Statewide grid average" selected in cell B11 of Calculator sheet.</t>
  </si>
  <si>
    <t xml:space="preserve">For Rebuttal Sensitivity Analysis: Berkeley Research Group, LLC. “Fuel and Credit Market Model: ZEV Policy Rollback Scenario” NMED Exhibit 136. </t>
  </si>
  <si>
    <t>EIB 25-23: In the Matter of Proposed Adoption of 20.2.92 NMAC – Clean Transportation Fuel Program. November 7, 2025.</t>
  </si>
  <si>
    <t>https://www.env.nm.gov/opf/wp-content/uploads/sites/13/2025/11/NMED-R135-137.pdf#page=32</t>
  </si>
  <si>
    <t xml:space="preserve">Matches projections from Benefit-Cost Analysis: Berkeley Research Group, LLC. “Fuel and Credit Market Model.” NMED Exhibit 79. </t>
  </si>
  <si>
    <t>EIB 25-23: In the Matter of Proposed Adoption of 20.2.92 NMAC – Clean Transportation Fuel Program. September 2, 2025.</t>
  </si>
  <si>
    <t>https://cloud.env.nm.gov/resources/_translator.php/NzA3NTEwYzYzY2I0NzNhN2JmNDc3NGQ1NV8yMDMxMTU~.pdf#page=379</t>
  </si>
  <si>
    <t>Shows the carbon intensity of elecrticity dispensed from EV chargers when "Gen mix" selected in cell B11 of Calculator sheet.</t>
  </si>
  <si>
    <t>2) Electric Generation Mix: Data Table</t>
  </si>
  <si>
    <t>Fuel Type</t>
  </si>
  <si>
    <t>User Defined Mix</t>
  </si>
  <si>
    <t>Upstream Factor (gCO2e/MMBtu)</t>
  </si>
  <si>
    <t>Direct Factor (gCO2e/kWh)</t>
  </si>
  <si>
    <t>Weighted Upstream</t>
  </si>
  <si>
    <t>Weighted Direct</t>
  </si>
  <si>
    <t>Biogas</t>
  </si>
  <si>
    <t>Biomass</t>
  </si>
  <si>
    <t>Coal</t>
  </si>
  <si>
    <t>Geothermal</t>
  </si>
  <si>
    <t>Hydro</t>
  </si>
  <si>
    <t>Natural Gas</t>
  </si>
  <si>
    <t>Nuclear</t>
  </si>
  <si>
    <t>Other Biogenic</t>
  </si>
  <si>
    <t>Other Non-Biogenic</t>
  </si>
  <si>
    <t>Petroleum</t>
  </si>
  <si>
    <t>Solar</t>
  </si>
  <si>
    <t>Unknown</t>
  </si>
  <si>
    <t>Waste</t>
  </si>
  <si>
    <t>Wind</t>
  </si>
  <si>
    <t>Unspecified (Plant)</t>
  </si>
  <si>
    <t>Unspecified (BPA)</t>
  </si>
  <si>
    <t/>
  </si>
  <si>
    <t>Share Sum</t>
  </si>
  <si>
    <t>Upstream CI total (gCO2e/MMBtu)</t>
  </si>
  <si>
    <t>Direct CI total (gCO2e/kWh)</t>
  </si>
  <si>
    <t>T&amp;D Loss</t>
  </si>
  <si>
    <t>Analytical WTW CI (gCO2e/MJ)</t>
  </si>
  <si>
    <t>Details Breakdown of CI for Electricity Resources: Upstream phase</t>
  </si>
  <si>
    <t>NG</t>
  </si>
  <si>
    <t>Other resources</t>
  </si>
  <si>
    <t>Total Upstream gCO2e/MMBtu</t>
  </si>
  <si>
    <t>VOC</t>
  </si>
  <si>
    <t>CO</t>
  </si>
  <si>
    <t>CH4</t>
  </si>
  <si>
    <t>N2O</t>
  </si>
  <si>
    <t>CO2</t>
  </si>
  <si>
    <t>Convert to gCO2e/MMBtu</t>
  </si>
  <si>
    <t>g/MJ</t>
  </si>
  <si>
    <t>g/kWh</t>
  </si>
  <si>
    <t>Details Breakdown of CI for Electricity Resources: Electricity Production phase &amp; Final WTW CI</t>
  </si>
  <si>
    <t>Total Electricity Prod, g/kWh</t>
  </si>
  <si>
    <t>Final WTW CI</t>
  </si>
  <si>
    <t>Convert to gCO2e/kWh</t>
  </si>
  <si>
    <t>Displayed pollutant rows are supplemental breakdowns. The analytical CI calculation uses the category total factors and fuel shares above. If Option 3 is selected, update the User Defined Mix cells in column F and ensure the share sum equals 1.000.</t>
  </si>
  <si>
    <t>VOC and CO rows are display-only decompositions derived from mapped or placeholder pollutant shares. Category total CI factors in the generation-mix table govern the calculated results.</t>
  </si>
  <si>
    <t>EF_Tables sheet - For information and viewing only</t>
  </si>
  <si>
    <t>Shows the emissions factors (EFs) by fuel source used to determine carbon intensities in the 'GenMix_CI' sheet</t>
  </si>
  <si>
    <t>EF Tables and Constants</t>
  </si>
  <si>
    <t>Category totals align to NM-GREET where mapped. Placeholder category factors are identified explicitly. Pollutant-share columns are display aids only and do not replace the category total CI factors used in the calculator.</t>
  </si>
  <si>
    <t>Constant</t>
  </si>
  <si>
    <t>Value</t>
  </si>
  <si>
    <t>Units</t>
  </si>
  <si>
    <t>Source / Note</t>
  </si>
  <si>
    <t>CH4 GWP</t>
  </si>
  <si>
    <t>gCO2e/gCH4</t>
  </si>
  <si>
    <t>NM-GREET Fuel_Specs!B148</t>
  </si>
  <si>
    <t>N2O GWP</t>
  </si>
  <si>
    <t>gCO2e/gN2O</t>
  </si>
  <si>
    <t>NM-GREET Fuel_Specs!B149</t>
  </si>
  <si>
    <t>MMBtu to MJ</t>
  </si>
  <si>
    <t>MJ/MMBtu</t>
  </si>
  <si>
    <t>Physical conversion</t>
  </si>
  <si>
    <t>kWh to MJ</t>
  </si>
  <si>
    <t>MJ/kWh</t>
  </si>
  <si>
    <t>Default T&amp;D loss</t>
  </si>
  <si>
    <t>fraction</t>
  </si>
  <si>
    <t>Default Western regional T&amp;D loss factor from NM-GREET Bio_electricity!C41. Replace if an approved EDU-specific factor is adopted by NMED.</t>
  </si>
  <si>
    <t>Fuel Type Category Name</t>
  </si>
  <si>
    <t>Up VOC share</t>
  </si>
  <si>
    <t>Up CO share</t>
  </si>
  <si>
    <t>Up CH4 share</t>
  </si>
  <si>
    <t>Up N2O share</t>
  </si>
  <si>
    <t>Up CO2 share</t>
  </si>
  <si>
    <t>Dir VOC share</t>
  </si>
  <si>
    <t>Dir CO share</t>
  </si>
  <si>
    <t>Dir CH4 share</t>
  </si>
  <si>
    <t>Dir N2O share</t>
  </si>
  <si>
    <t>Dir CO2 share</t>
  </si>
  <si>
    <t>Upstream share sum</t>
  </si>
  <si>
    <t>Direct share sum</t>
  </si>
  <si>
    <t>Proxy check note</t>
  </si>
  <si>
    <t>placeholder, mapped to Natural_gas for Direct emissions</t>
  </si>
  <si>
    <t>NM-GREET v1.0 Electric sheet — biomass-electricity mapped factor.</t>
  </si>
  <si>
    <t>NM-GREET v1.0 Electric sheet — coal-electricity mapped factor.</t>
  </si>
  <si>
    <t>20.2.92.206.B NMAC — renewable electricity CI deemed zero.</t>
  </si>
  <si>
    <t>NM-GREET v1.0 Electric sheet — natural-gas-electricity mapped factor.</t>
  </si>
  <si>
    <t>NM-GREET v1.0 Electric sheet — nuclear-electricity mapped factor.</t>
  </si>
  <si>
    <t>NM-GREET v1.0 Electric sheet — other non-biogenic mapped factor.</t>
  </si>
  <si>
    <t>NM-GREET v1.0 Electric sheet — petroleum-electricity mapped factor.</t>
  </si>
  <si>
    <t>Placeholder — average of mapped non-renewable categories</t>
  </si>
  <si>
    <t>Placeholder — same default treatment as Unknown</t>
  </si>
  <si>
    <t>Placeholder — same default treatment as Unknown. Use AZNM eGRID non-renewable weighted avg?</t>
  </si>
  <si>
    <t>Credit Price_nom sheet - For information and viewing only</t>
  </si>
  <si>
    <t>Credit prices from the Benefit-Cost Analysis and Rebuttal Sensitivity Analysis in nominal $US, used if either option selected in cell B14 of Calculator sheet</t>
  </si>
  <si>
    <t>Credit Price (nominal)</t>
  </si>
  <si>
    <t>Rebuttal Sensitivity Analysis</t>
  </si>
  <si>
    <t xml:space="preserve">For Benefit-Cost Analysis (BCA): Berkeley Research Group, LLC. “Fuel and Credit Market Model.” NMED Exhibit 79. EIB 25-23: In the Matter of Proposed Adoption of 20.2.92 NMAC – Clean Transportation </t>
  </si>
  <si>
    <r>
      <rPr>
        <sz val="11"/>
        <color theme="1"/>
        <rFont val="Calibri"/>
        <family val="2"/>
        <scheme val="minor"/>
      </rPr>
      <t xml:space="preserve">Fuel Program. September 2, 2025. </t>
    </r>
    <r>
      <rPr>
        <u/>
        <sz val="11"/>
        <color theme="10"/>
        <rFont val="Calibri"/>
        <family val="2"/>
        <scheme val="minor"/>
      </rPr>
      <t>https://cloud.env.nm.gov/resources/_translator.php/NzA3NTEwYzYzY2I0NzNhN2JmNDc3NGQ1NV8yMDMxMTU~.pdf#page=461</t>
    </r>
  </si>
  <si>
    <t xml:space="preserve">For Rebuttal Sensitivity Analysis (RSA): Berkeley Research Group, LLC. “Fuel and Credit Market Model: ZEV Policy Rollback Scenario” NMED Exhibit 136. EIB 25-23: In the Matter of Proposed Adoption of </t>
  </si>
  <si>
    <r>
      <rPr>
        <sz val="11"/>
        <color theme="1"/>
        <rFont val="Calibri"/>
        <family val="2"/>
        <scheme val="minor"/>
      </rPr>
      <t xml:space="preserve">20.2.92 NMAC – Clean Transportation Fuel Program. November 7, 2025. </t>
    </r>
    <r>
      <rPr>
        <u/>
        <sz val="11"/>
        <color theme="10"/>
        <rFont val="Calibri"/>
        <family val="2"/>
        <scheme val="minor"/>
      </rPr>
      <t>https://www.env.nm.gov/opf/wp-content/uploads/sites/13/2025/11/NMED-R135-137.pdf#page=111</t>
    </r>
  </si>
  <si>
    <t>Note: Both the Benefits-Cost Analysis (BCA) and the Rebuttal Sensitivity Analysis (RSA) use the Fuel Credit Markets Model (FCMM). The FCMM projects all prices in real $US 2024.</t>
  </si>
  <si>
    <t>The FCMM then calculates nominal credit prices by converting the real $US 2024 prices using the Federal Reserve Bank of Philadelphia. "Fourth Quarter 2024 Survey of Professional Forecasters."</t>
  </si>
  <si>
    <t>https://www.philadelphiafed.org/surveys-and-data/real-time-data-research/spf-q4-2024</t>
  </si>
  <si>
    <t>BCA 2024</t>
  </si>
  <si>
    <t>RSA 2024</t>
  </si>
  <si>
    <t>BCA nom</t>
  </si>
  <si>
    <t>RSA nom</t>
  </si>
  <si>
    <t>Inflation sheet - For information and viewing only</t>
  </si>
  <si>
    <t>Inflation factors used to adjust prices from $US nominal to $US real based upon the factor selected in cell B16 of the Calculator sheet (none if "nominal" selected)</t>
  </si>
  <si>
    <t>Yearly inflation rates</t>
  </si>
  <si>
    <t>2030–
2036</t>
  </si>
  <si>
    <t>Personal Consumption Expenditures</t>
  </si>
  <si>
    <t>Personal Consumption Expenditures (core)</t>
  </si>
  <si>
    <t>Consumer Price Index (core)</t>
  </si>
  <si>
    <t>Gross Domestic Product</t>
  </si>
  <si>
    <t>Annual inflation factors (2024 = 1.000)</t>
  </si>
  <si>
    <t>Congressional Budget Office. "The Budget and Economic Outlook: 2026 to 2036." February 2026.</t>
  </si>
  <si>
    <t>https://www.cbo.gov/system/files/2026-02/61882-Outlook-2026.pdf#page=163</t>
  </si>
  <si>
    <t>Options sheet - For information and viewing only</t>
  </si>
  <si>
    <t>Lists the available options for Cells B16 and B19 for single year and multi-year selections, respectively</t>
  </si>
  <si>
    <t>GridCISingle</t>
  </si>
  <si>
    <t>GridCIMulti</t>
  </si>
  <si>
    <t>PricesSingle</t>
  </si>
  <si>
    <t>PricesMulti</t>
  </si>
  <si>
    <t>Gen mix</t>
  </si>
  <si>
    <t>Manual (single CI)</t>
  </si>
  <si>
    <t>Manual (Single price)</t>
  </si>
  <si>
    <t>Manual (different annual CIs)</t>
  </si>
  <si>
    <t>Manual (Different annual prices)</t>
  </si>
  <si>
    <t>Level-2 Charger</t>
  </si>
  <si>
    <t>Light-medium-duty (14k pounds or less)</t>
  </si>
  <si>
    <t>b. In this scenario, unlike in the "Rebuttal Sensitivity Analysis" scenario, credit prices fall to zero by 2036 due to credit supply that exceeds compliance obligations.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</si>
</sst>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7" formatCode="&quot;$&quot;#,##0.00_);\(&quot;$&quot;#,##0.00\)"/>
    <numFmt numFmtId="8" formatCode="&quot;$&quot;#,##0.00_);[Red]\(&quot;$&quot;#,##0.00\)"/>
    <numFmt numFmtId="44" formatCode="_(&quot;$&quot;* #,##0.00_);_(&quot;$&quot;* \(#,##0.00\);_(&quot;$&quot;* &quot;-&quot;??_);_(@_)"/>
    <numFmt numFmtId="164" formatCode="0.0%"/>
    <numFmt numFmtId="165" formatCode="0.0"/>
    <numFmt numFmtId="166" formatCode="0.000"/>
    <numFmt numFmtId="167" formatCode="0.000000"/>
    <numFmt numFmtId="168" formatCode="&quot;$&quot;#,##0.00"/>
    <numFmt numFmtId="169" formatCode="&quot;$&quot;#,##0"/>
  </numFmts>
  <fonts count="43"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name val="Aptos Narrow"/>
      <family val="2"/>
    </font>
    <font>
      <sz val="11"/>
      <color theme="1"/>
      <name val="Calibri"/>
      <family val="2"/>
      <charset val="1"/>
    </font>
    <font>
      <b/>
      <sz val="10"/>
      <color rgb="FF000000"/>
      <name val="Calibri"/>
      <family val="2"/>
    </font>
    <font>
      <sz val="10"/>
      <color rgb="FF000000"/>
      <name val="Calibri"/>
      <family val="2"/>
    </font>
    <font>
      <sz val="11"/>
      <color rgb="FF000000"/>
      <name val="Calibri"/>
      <family val="2"/>
    </font>
    <font>
      <sz val="10"/>
      <name val="Arial"/>
      <family val="2"/>
    </font>
    <font>
      <b/>
      <sz val="12"/>
      <color rgb="FF000000"/>
      <name val="Calibri"/>
      <family val="2"/>
    </font>
    <font>
      <sz val="11"/>
      <color rgb="FF0000FF"/>
      <name val="Cambria"/>
      <family val="1"/>
    </font>
    <font>
      <sz val="11"/>
      <name val="Cambria"/>
      <family val="1"/>
    </font>
    <font>
      <sz val="10"/>
      <color theme="0"/>
      <name val="Calibri"/>
      <family val="2"/>
    </font>
    <font>
      <b/>
      <sz val="14"/>
      <color theme="0"/>
      <name val="Lato"/>
      <family val="2"/>
    </font>
    <font>
      <sz val="14"/>
      <color theme="0"/>
      <name val="Lato"/>
      <family val="2"/>
    </font>
    <font>
      <sz val="11"/>
      <color theme="1"/>
      <name val="Lato"/>
      <family val="2"/>
    </font>
    <font>
      <b/>
      <sz val="12"/>
      <color theme="0"/>
      <name val="Lato"/>
      <family val="2"/>
    </font>
    <font>
      <b/>
      <sz val="14"/>
      <color theme="1"/>
      <name val="Lato"/>
      <family val="2"/>
    </font>
    <font>
      <b/>
      <sz val="12"/>
      <color theme="1"/>
      <name val="Lato"/>
      <family val="2"/>
    </font>
    <font>
      <b/>
      <sz val="10"/>
      <color theme="0"/>
      <name val="Calibri"/>
      <family val="2"/>
    </font>
    <font>
      <sz val="9"/>
      <color indexed="81"/>
      <name val="Tahoma"/>
      <family val="2"/>
    </font>
    <font>
      <b/>
      <sz val="10"/>
      <color theme="0"/>
      <name val="Lato"/>
      <family val="2"/>
    </font>
    <font>
      <b/>
      <sz val="10"/>
      <color theme="1"/>
      <name val="Lato"/>
      <family val="2"/>
    </font>
    <font>
      <b/>
      <sz val="11"/>
      <color theme="1"/>
      <name val="Lato"/>
      <family val="2"/>
    </font>
    <font>
      <sz val="10"/>
      <color rgb="FF000000"/>
      <name val="Lato"/>
      <family val="2"/>
    </font>
    <font>
      <b/>
      <sz val="10"/>
      <color rgb="FF000000"/>
      <name val="Lato"/>
      <family val="2"/>
    </font>
    <font>
      <sz val="10"/>
      <color theme="1"/>
      <name val="Lato"/>
      <family val="2"/>
    </font>
    <font>
      <b/>
      <sz val="11"/>
      <color theme="7" tint="-0.499984740745262"/>
      <name val="Lato"/>
      <family val="2"/>
    </font>
    <font>
      <b/>
      <sz val="11"/>
      <color rgb="FFFF7119"/>
      <name val="Lato"/>
      <family val="2"/>
    </font>
    <font>
      <vertAlign val="subscript"/>
      <sz val="10"/>
      <color theme="1"/>
      <name val="Lato"/>
      <family val="2"/>
    </font>
    <font>
      <vertAlign val="superscript"/>
      <sz val="10"/>
      <color theme="1"/>
      <name val="Lato"/>
      <family val="2"/>
    </font>
    <font>
      <i/>
      <sz val="10"/>
      <color theme="1"/>
      <name val="Lato"/>
      <family val="2"/>
    </font>
    <font>
      <i/>
      <vertAlign val="superscript"/>
      <sz val="10"/>
      <color theme="1"/>
      <name val="Lato"/>
      <family val="2"/>
    </font>
    <font>
      <i/>
      <vertAlign val="subscript"/>
      <sz val="10"/>
      <color theme="1"/>
      <name val="Lato"/>
      <family val="2"/>
    </font>
    <font>
      <b/>
      <u/>
      <sz val="10"/>
      <color theme="1"/>
      <name val="Lato"/>
      <family val="2"/>
    </font>
    <font>
      <sz val="10"/>
      <color theme="1"/>
      <name val="Calibri"/>
      <family val="2"/>
      <scheme val="minor"/>
    </font>
    <font>
      <u/>
      <sz val="10"/>
      <color rgb="FF0070C0"/>
      <name val="Lato"/>
      <family val="2"/>
    </font>
    <font>
      <u/>
      <sz val="10"/>
      <color theme="10"/>
      <name val="Calibri"/>
      <family val="2"/>
      <scheme val="minor"/>
    </font>
    <font>
      <b/>
      <i/>
      <sz val="9"/>
      <color theme="1"/>
      <name val="Lato"/>
      <family val="2"/>
    </font>
    <font>
      <b/>
      <sz val="10"/>
      <color rgb="FFFFA168"/>
      <name val="Lato"/>
      <family val="2"/>
    </font>
    <font>
      <b/>
      <sz val="10"/>
      <color rgb="FFBF8F00"/>
      <name val="Lato"/>
      <family val="2"/>
    </font>
    <font>
      <b/>
      <i/>
      <vertAlign val="superscript"/>
      <sz val="9"/>
      <color theme="1"/>
      <name val="Lato"/>
      <family val="2"/>
    </font>
  </fonts>
  <fills count="17">
    <fill>
      <patternFill patternType="none"/>
    </fill>
    <fill>
      <patternFill patternType="gray125"/>
    </fill>
    <fill>
      <patternFill patternType="solid">
        <fgColor theme="1"/>
        <bgColor indexed="64"/>
      </patternFill>
    </fill>
    <fill>
      <patternFill patternType="solid">
        <fgColor rgb="FFFFF2CC"/>
        <bgColor rgb="FFFCE5CD"/>
      </patternFill>
    </fill>
    <fill>
      <patternFill patternType="solid">
        <fgColor rgb="FFEDEDED"/>
        <bgColor rgb="FFF2F2F2"/>
      </patternFill>
    </fill>
    <fill>
      <patternFill patternType="solid">
        <fgColor rgb="FFD9D9D9"/>
        <bgColor rgb="FFD8E4BC"/>
      </patternFill>
    </fill>
    <fill>
      <patternFill patternType="solid">
        <fgColor rgb="FFC6E0B4"/>
        <bgColor rgb="FFB7E1A1"/>
      </patternFill>
    </fill>
    <fill>
      <patternFill patternType="solid">
        <fgColor rgb="FFFCE5CD"/>
        <bgColor rgb="FFFFF2CC"/>
      </patternFill>
    </fill>
    <fill>
      <patternFill patternType="solid">
        <fgColor rgb="FFD8E4BC"/>
        <bgColor rgb="FFC6E0B4"/>
      </patternFill>
    </fill>
    <fill>
      <patternFill patternType="solid">
        <fgColor theme="0"/>
        <bgColor indexed="64"/>
      </patternFill>
    </fill>
    <fill>
      <patternFill patternType="solid">
        <fgColor rgb="FFFFA168"/>
        <bgColor rgb="FF000000"/>
      </patternFill>
    </fill>
    <fill>
      <patternFill patternType="solid">
        <fgColor rgb="FFF1E1C0"/>
        <bgColor indexed="64"/>
      </patternFill>
    </fill>
    <fill>
      <patternFill patternType="solid">
        <fgColor rgb="FFF4F1E2"/>
        <bgColor indexed="64"/>
      </patternFill>
    </fill>
    <fill>
      <patternFill patternType="solid">
        <fgColor theme="1"/>
        <bgColor rgb="FFFCE5CD"/>
      </patternFill>
    </fill>
    <fill>
      <patternFill patternType="solid">
        <fgColor theme="7" tint="-0.249977111117893"/>
        <bgColor indexed="64"/>
      </patternFill>
    </fill>
    <fill>
      <patternFill patternType="solid">
        <fgColor theme="7" tint="-0.249977111117893"/>
        <bgColor rgb="FFFCE5CD"/>
      </patternFill>
    </fill>
    <fill>
      <patternFill patternType="solid">
        <fgColor rgb="FFBF8F00"/>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medium">
        <color rgb="FF595959"/>
      </left>
      <right style="medium">
        <color rgb="FF595959"/>
      </right>
      <top style="medium">
        <color rgb="FF595959"/>
      </top>
      <bottom style="medium">
        <color rgb="FF595959"/>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medium">
        <color indexed="64"/>
      </top>
      <bottom style="medium">
        <color indexed="64"/>
      </bottom>
      <diagonal/>
    </border>
    <border>
      <left/>
      <right style="medium">
        <color indexed="64"/>
      </right>
      <top/>
      <bottom/>
      <diagonal/>
    </border>
  </borders>
  <cellStyleXfs count="6">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4" fillId="0" borderId="0"/>
    <xf numFmtId="0" fontId="5" fillId="0" borderId="0"/>
    <xf numFmtId="9" fontId="1" fillId="0" borderId="0" applyFont="0" applyFill="0" applyBorder="0" applyAlignment="0" applyProtection="0"/>
  </cellStyleXfs>
  <cellXfs count="125">
    <xf numFmtId="0" fontId="0" fillId="0" borderId="0" xfId="0"/>
    <xf numFmtId="0" fontId="2" fillId="0" borderId="0" xfId="0" applyFont="1"/>
    <xf numFmtId="44" fontId="0" fillId="0" borderId="0" xfId="1" applyFont="1"/>
    <xf numFmtId="0" fontId="3" fillId="0" borderId="0" xfId="2"/>
    <xf numFmtId="0" fontId="0" fillId="0" borderId="0" xfId="0" applyAlignment="1">
      <alignment horizontal="center"/>
    </xf>
    <xf numFmtId="0" fontId="0" fillId="0" borderId="0" xfId="0" applyAlignment="1">
      <alignment horizontal="left"/>
    </xf>
    <xf numFmtId="0" fontId="2" fillId="0" borderId="0" xfId="0" applyFont="1" applyAlignment="1">
      <alignment horizontal="center"/>
    </xf>
    <xf numFmtId="165" fontId="0" fillId="0" borderId="0" xfId="0" applyNumberFormat="1" applyAlignment="1">
      <alignment horizontal="center"/>
    </xf>
    <xf numFmtId="166" fontId="0" fillId="0" borderId="0" xfId="0" applyNumberFormat="1" applyAlignment="1">
      <alignment horizontal="center"/>
    </xf>
    <xf numFmtId="0" fontId="3" fillId="0" borderId="0" xfId="2" applyFill="1"/>
    <xf numFmtId="44" fontId="0" fillId="0" borderId="0" xfId="0" applyNumberFormat="1"/>
    <xf numFmtId="0" fontId="5" fillId="0" borderId="0" xfId="4"/>
    <xf numFmtId="0" fontId="6" fillId="5" borderId="18" xfId="4" applyFont="1" applyFill="1" applyBorder="1" applyAlignment="1">
      <alignment horizontal="center" vertical="center" wrapText="1"/>
    </xf>
    <xf numFmtId="0" fontId="7" fillId="0" borderId="18" xfId="4" applyFont="1" applyBorder="1" applyAlignment="1">
      <alignment horizontal="left" vertical="center" wrapText="1"/>
    </xf>
    <xf numFmtId="164" fontId="7" fillId="6" borderId="18" xfId="4" applyNumberFormat="1" applyFont="1" applyFill="1" applyBorder="1" applyAlignment="1">
      <alignment horizontal="center" vertical="center" wrapText="1"/>
    </xf>
    <xf numFmtId="2" fontId="7" fillId="0" borderId="18" xfId="4" applyNumberFormat="1" applyFont="1" applyBorder="1" applyAlignment="1">
      <alignment horizontal="center" vertical="center" wrapText="1"/>
    </xf>
    <xf numFmtId="0" fontId="6" fillId="4" borderId="18" xfId="4" applyFont="1" applyFill="1" applyBorder="1" applyAlignment="1">
      <alignment horizontal="left" vertical="center" wrapText="1"/>
    </xf>
    <xf numFmtId="2" fontId="7" fillId="7" borderId="18" xfId="4" applyNumberFormat="1" applyFont="1" applyFill="1" applyBorder="1" applyAlignment="1">
      <alignment horizontal="center" vertical="center" wrapText="1"/>
    </xf>
    <xf numFmtId="164" fontId="7" fillId="7" borderId="18" xfId="4" applyNumberFormat="1" applyFont="1" applyFill="1" applyBorder="1" applyAlignment="1">
      <alignment horizontal="center" vertical="center" wrapText="1"/>
    </xf>
    <xf numFmtId="2" fontId="6" fillId="7" borderId="18" xfId="4" applyNumberFormat="1" applyFont="1" applyFill="1" applyBorder="1" applyAlignment="1">
      <alignment horizontal="center" vertical="center" wrapText="1"/>
    </xf>
    <xf numFmtId="0" fontId="7" fillId="7" borderId="18" xfId="4" applyFont="1" applyFill="1" applyBorder="1" applyAlignment="1">
      <alignment horizontal="center" vertical="center" wrapText="1"/>
    </xf>
    <xf numFmtId="0" fontId="5" fillId="0" borderId="18" xfId="4" applyBorder="1" applyAlignment="1">
      <alignment horizontal="center" vertical="center" wrapText="1"/>
    </xf>
    <xf numFmtId="2" fontId="5" fillId="0" borderId="0" xfId="4" applyNumberFormat="1"/>
    <xf numFmtId="0" fontId="5" fillId="0" borderId="17" xfId="4" applyBorder="1" applyAlignment="1">
      <alignment horizontal="left" vertical="center" wrapText="1"/>
    </xf>
    <xf numFmtId="0" fontId="5" fillId="0" borderId="17" xfId="4" applyBorder="1" applyAlignment="1">
      <alignment horizontal="center" vertical="center" wrapText="1"/>
    </xf>
    <xf numFmtId="0" fontId="5" fillId="0" borderId="18" xfId="4" applyBorder="1" applyAlignment="1">
      <alignment horizontal="left" vertical="center" wrapText="1"/>
    </xf>
    <xf numFmtId="1" fontId="5" fillId="0" borderId="18" xfId="4" applyNumberFormat="1" applyBorder="1" applyAlignment="1">
      <alignment horizontal="center" vertical="center" wrapText="1"/>
    </xf>
    <xf numFmtId="10" fontId="11" fillId="3" borderId="18" xfId="4" applyNumberFormat="1" applyFont="1" applyFill="1" applyBorder="1" applyAlignment="1">
      <alignment horizontal="center" vertical="center" wrapText="1"/>
    </xf>
    <xf numFmtId="10" fontId="12" fillId="3" borderId="18" xfId="4" applyNumberFormat="1" applyFont="1" applyFill="1" applyBorder="1" applyAlignment="1">
      <alignment horizontal="center" vertical="center" wrapText="1"/>
    </xf>
    <xf numFmtId="167" fontId="5" fillId="0" borderId="18" xfId="4" applyNumberFormat="1" applyBorder="1"/>
    <xf numFmtId="0" fontId="5" fillId="0" borderId="18" xfId="4" applyBorder="1"/>
    <xf numFmtId="8" fontId="0" fillId="0" borderId="0" xfId="0" applyNumberFormat="1"/>
    <xf numFmtId="0" fontId="0" fillId="0" borderId="0" xfId="0" applyAlignment="1">
      <alignment horizontal="center" wrapText="1"/>
    </xf>
    <xf numFmtId="164" fontId="13" fillId="13" borderId="18" xfId="4" applyNumberFormat="1" applyFont="1" applyFill="1" applyBorder="1" applyAlignment="1" applyProtection="1">
      <alignment horizontal="center" vertical="center" wrapText="1"/>
      <protection locked="0"/>
    </xf>
    <xf numFmtId="7" fontId="0" fillId="0" borderId="0" xfId="1" applyNumberFormat="1" applyFont="1" applyAlignment="1">
      <alignment horizontal="center"/>
    </xf>
    <xf numFmtId="0" fontId="22" fillId="0" borderId="5" xfId="0" applyFont="1" applyBorder="1" applyAlignment="1">
      <alignment horizontal="center" vertical="center" wrapText="1"/>
    </xf>
    <xf numFmtId="0" fontId="22" fillId="0" borderId="14" xfId="0" applyFont="1" applyBorder="1" applyAlignment="1">
      <alignment horizontal="center" vertical="center" wrapText="1"/>
    </xf>
    <xf numFmtId="0" fontId="25" fillId="0" borderId="18" xfId="4" applyFont="1" applyBorder="1" applyAlignment="1">
      <alignment horizontal="left" vertical="center" wrapText="1"/>
    </xf>
    <xf numFmtId="164" fontId="22" fillId="15" borderId="18" xfId="4" applyNumberFormat="1" applyFont="1" applyFill="1" applyBorder="1" applyAlignment="1" applyProtection="1">
      <alignment horizontal="center" vertical="center" wrapText="1"/>
      <protection locked="0"/>
    </xf>
    <xf numFmtId="0" fontId="26" fillId="10" borderId="18" xfId="0" applyFont="1" applyFill="1" applyBorder="1" applyAlignment="1">
      <alignment horizontal="center" vertical="center"/>
    </xf>
    <xf numFmtId="0" fontId="27" fillId="12" borderId="10" xfId="0" applyFont="1" applyFill="1" applyBorder="1" applyAlignment="1">
      <alignment horizontal="center" vertical="center"/>
    </xf>
    <xf numFmtId="0" fontId="22" fillId="14" borderId="10" xfId="0" applyFont="1" applyFill="1" applyBorder="1" applyAlignment="1">
      <alignment horizontal="center" vertical="center"/>
    </xf>
    <xf numFmtId="0" fontId="27" fillId="12" borderId="10" xfId="0" applyFont="1" applyFill="1" applyBorder="1" applyAlignment="1">
      <alignment horizontal="center" vertical="center" wrapText="1"/>
    </xf>
    <xf numFmtId="0" fontId="27" fillId="12" borderId="16" xfId="0" applyFont="1" applyFill="1" applyBorder="1" applyAlignment="1">
      <alignment horizontal="center" vertical="center" wrapText="1"/>
    </xf>
    <xf numFmtId="0" fontId="22" fillId="14" borderId="16" xfId="0" applyFont="1" applyFill="1" applyBorder="1" applyAlignment="1">
      <alignment horizontal="center" vertical="center"/>
    </xf>
    <xf numFmtId="0" fontId="27" fillId="12" borderId="8" xfId="0" applyFont="1" applyFill="1" applyBorder="1" applyAlignment="1">
      <alignment horizontal="center" vertical="center"/>
    </xf>
    <xf numFmtId="0" fontId="22" fillId="14" borderId="9" xfId="0" applyFont="1" applyFill="1" applyBorder="1" applyAlignment="1">
      <alignment horizontal="center" vertical="center"/>
    </xf>
    <xf numFmtId="0" fontId="22" fillId="14" borderId="11" xfId="0" applyFont="1" applyFill="1" applyBorder="1" applyAlignment="1">
      <alignment horizontal="center" vertical="center"/>
    </xf>
    <xf numFmtId="0" fontId="27" fillId="12" borderId="12" xfId="0" applyFont="1" applyFill="1" applyBorder="1" applyAlignment="1">
      <alignment horizontal="center" vertical="center"/>
    </xf>
    <xf numFmtId="0" fontId="22" fillId="14" borderId="13" xfId="0" applyFont="1" applyFill="1" applyBorder="1" applyAlignment="1">
      <alignment horizontal="center" vertical="center"/>
    </xf>
    <xf numFmtId="0" fontId="0" fillId="0" borderId="0" xfId="0" applyAlignment="1">
      <alignment vertical="center"/>
    </xf>
    <xf numFmtId="0" fontId="27" fillId="0" borderId="0" xfId="0" applyFont="1" applyAlignment="1">
      <alignment vertical="center"/>
    </xf>
    <xf numFmtId="0" fontId="17" fillId="0" borderId="20" xfId="0" applyFont="1" applyBorder="1" applyAlignment="1">
      <alignment horizontal="center" vertical="center"/>
    </xf>
    <xf numFmtId="0" fontId="17" fillId="0" borderId="0" xfId="0" applyFont="1" applyAlignment="1">
      <alignment horizontal="center" vertical="center"/>
    </xf>
    <xf numFmtId="0" fontId="23" fillId="9" borderId="6" xfId="0" applyFont="1" applyFill="1" applyBorder="1" applyAlignment="1">
      <alignment horizontal="center" vertical="center"/>
    </xf>
    <xf numFmtId="0" fontId="23" fillId="9" borderId="15" xfId="0" applyFont="1" applyFill="1" applyBorder="1" applyAlignment="1">
      <alignment horizontal="center" vertical="center"/>
    </xf>
    <xf numFmtId="0" fontId="23" fillId="12" borderId="1" xfId="0" applyFont="1" applyFill="1" applyBorder="1" applyAlignment="1">
      <alignment horizontal="center" vertical="center"/>
    </xf>
    <xf numFmtId="0" fontId="27" fillId="0" borderId="20" xfId="0" applyFont="1" applyBorder="1" applyAlignment="1">
      <alignment horizontal="center" vertical="center"/>
    </xf>
    <xf numFmtId="2" fontId="27" fillId="0" borderId="0" xfId="0" applyNumberFormat="1" applyFont="1" applyAlignment="1">
      <alignment horizontal="center" vertical="center"/>
    </xf>
    <xf numFmtId="168" fontId="27" fillId="0" borderId="0" xfId="0" applyNumberFormat="1" applyFont="1" applyAlignment="1">
      <alignment horizontal="center" vertical="center"/>
    </xf>
    <xf numFmtId="169" fontId="27" fillId="12" borderId="14" xfId="0" applyNumberFormat="1" applyFont="1" applyFill="1" applyBorder="1" applyAlignment="1">
      <alignment horizontal="center" vertical="center"/>
    </xf>
    <xf numFmtId="168" fontId="27" fillId="0" borderId="0" xfId="1" applyNumberFormat="1" applyFont="1" applyAlignment="1">
      <alignment vertical="center"/>
    </xf>
    <xf numFmtId="0" fontId="27" fillId="0" borderId="0" xfId="0" applyFont="1" applyAlignment="1">
      <alignment horizontal="center" vertical="center"/>
    </xf>
    <xf numFmtId="0" fontId="22" fillId="0" borderId="14" xfId="0" applyFont="1" applyBorder="1" applyAlignment="1">
      <alignment horizontal="center" vertical="center"/>
    </xf>
    <xf numFmtId="0" fontId="27" fillId="0" borderId="2" xfId="0" applyFont="1" applyBorder="1" applyAlignment="1">
      <alignment horizontal="left" vertical="center"/>
    </xf>
    <xf numFmtId="2" fontId="27" fillId="0" borderId="3" xfId="0" applyNumberFormat="1" applyFont="1" applyBorder="1" applyAlignment="1">
      <alignment horizontal="center" vertical="center"/>
    </xf>
    <xf numFmtId="168" fontId="27" fillId="0" borderId="3" xfId="0" applyNumberFormat="1" applyFont="1" applyBorder="1" applyAlignment="1">
      <alignment horizontal="center" vertical="center"/>
    </xf>
    <xf numFmtId="169" fontId="27" fillId="12" borderId="4" xfId="0" applyNumberFormat="1" applyFont="1" applyFill="1" applyBorder="1" applyAlignment="1">
      <alignment horizontal="center" vertical="center"/>
    </xf>
    <xf numFmtId="0" fontId="22" fillId="0" borderId="4" xfId="0" applyFont="1" applyBorder="1" applyAlignment="1">
      <alignment horizontal="center" vertical="center"/>
    </xf>
    <xf numFmtId="0" fontId="23" fillId="12" borderId="6" xfId="0" applyFont="1" applyFill="1" applyBorder="1" applyAlignment="1">
      <alignment horizontal="center" vertical="center"/>
    </xf>
    <xf numFmtId="169" fontId="23" fillId="12" borderId="1" xfId="0" applyNumberFormat="1" applyFont="1" applyFill="1" applyBorder="1" applyAlignment="1">
      <alignment horizontal="center" vertical="center"/>
    </xf>
    <xf numFmtId="0" fontId="32" fillId="0" borderId="0" xfId="0" applyFont="1" applyAlignment="1">
      <alignment vertical="center"/>
    </xf>
    <xf numFmtId="0" fontId="16" fillId="0" borderId="0" xfId="0" applyFont="1" applyAlignment="1">
      <alignment vertical="center"/>
    </xf>
    <xf numFmtId="0" fontId="16" fillId="0" borderId="0" xfId="0" applyFont="1" applyAlignment="1">
      <alignment horizontal="center" vertical="center"/>
    </xf>
    <xf numFmtId="9" fontId="16" fillId="0" borderId="0" xfId="5" applyFont="1" applyFill="1" applyAlignment="1">
      <alignment horizontal="center" vertical="center"/>
    </xf>
    <xf numFmtId="0" fontId="0" fillId="0" borderId="0" xfId="0" applyAlignment="1">
      <alignment horizontal="center" vertical="center"/>
    </xf>
    <xf numFmtId="0" fontId="22" fillId="16" borderId="10" xfId="0" applyFont="1" applyFill="1" applyBorder="1" applyAlignment="1">
      <alignment horizontal="center" vertical="center"/>
    </xf>
    <xf numFmtId="0" fontId="22" fillId="16" borderId="8" xfId="0" applyFont="1" applyFill="1" applyBorder="1" applyAlignment="1">
      <alignment horizontal="center" vertical="center"/>
    </xf>
    <xf numFmtId="0" fontId="20" fillId="13" borderId="1" xfId="4" applyFont="1" applyFill="1" applyBorder="1" applyAlignment="1">
      <alignment horizontal="left" vertical="center" wrapText="1"/>
    </xf>
    <xf numFmtId="0" fontId="36" fillId="0" borderId="0" xfId="0" applyFont="1" applyAlignment="1">
      <alignment vertical="center"/>
    </xf>
    <xf numFmtId="0" fontId="0" fillId="9" borderId="0" xfId="0" applyFill="1" applyAlignment="1">
      <alignment vertical="center"/>
    </xf>
    <xf numFmtId="0" fontId="14" fillId="9" borderId="0" xfId="0" applyFont="1" applyFill="1" applyAlignment="1">
      <alignment horizontal="center" vertical="center"/>
    </xf>
    <xf numFmtId="0" fontId="15" fillId="9" borderId="0" xfId="0" applyFont="1" applyFill="1" applyAlignment="1">
      <alignment horizontal="center" vertical="center"/>
    </xf>
    <xf numFmtId="0" fontId="35" fillId="9" borderId="0" xfId="0" applyFont="1" applyFill="1" applyAlignment="1">
      <alignment vertical="center"/>
    </xf>
    <xf numFmtId="0" fontId="27" fillId="9" borderId="0" xfId="0" applyFont="1" applyFill="1" applyAlignment="1">
      <alignment vertical="center"/>
    </xf>
    <xf numFmtId="0" fontId="36" fillId="9" borderId="0" xfId="0" applyFont="1" applyFill="1" applyAlignment="1">
      <alignment vertical="center"/>
    </xf>
    <xf numFmtId="0" fontId="39" fillId="9" borderId="0" xfId="0" applyFont="1" applyFill="1" applyAlignment="1">
      <alignment vertical="center"/>
    </xf>
    <xf numFmtId="0" fontId="38" fillId="9" borderId="0" xfId="2" applyFont="1" applyFill="1" applyBorder="1" applyAlignment="1">
      <alignment vertical="center"/>
    </xf>
    <xf numFmtId="0" fontId="22" fillId="2" borderId="0" xfId="0" applyFont="1" applyFill="1" applyAlignment="1">
      <alignment horizontal="center" vertical="center"/>
    </xf>
    <xf numFmtId="0" fontId="19" fillId="11" borderId="22" xfId="0" applyFont="1" applyFill="1" applyBorder="1" applyAlignment="1">
      <alignment horizontal="center" vertical="center"/>
    </xf>
    <xf numFmtId="0" fontId="19" fillId="11" borderId="23" xfId="0" applyFont="1" applyFill="1" applyBorder="1" applyAlignment="1">
      <alignment horizontal="center" vertical="center"/>
    </xf>
    <xf numFmtId="0" fontId="19" fillId="11" borderId="24" xfId="0" applyFont="1" applyFill="1" applyBorder="1" applyAlignment="1">
      <alignment horizontal="center" vertical="center"/>
    </xf>
    <xf numFmtId="0" fontId="24" fillId="11" borderId="2" xfId="0" applyFont="1" applyFill="1" applyBorder="1" applyAlignment="1">
      <alignment horizontal="center" vertical="center"/>
    </xf>
    <xf numFmtId="0" fontId="24" fillId="11" borderId="3" xfId="0" applyFont="1" applyFill="1" applyBorder="1" applyAlignment="1">
      <alignment horizontal="center" vertical="center"/>
    </xf>
    <xf numFmtId="0" fontId="24" fillId="11" borderId="21" xfId="0" applyFont="1" applyFill="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7" fillId="0" borderId="22" xfId="0" applyFont="1" applyBorder="1" applyAlignment="1">
      <alignment horizontal="center" vertical="center"/>
    </xf>
    <xf numFmtId="0" fontId="27" fillId="0" borderId="24" xfId="0" applyFont="1" applyBorder="1" applyAlignment="1">
      <alignment horizontal="center" vertical="center"/>
    </xf>
    <xf numFmtId="0" fontId="22" fillId="16" borderId="22" xfId="0" applyFont="1" applyFill="1" applyBorder="1" applyAlignment="1">
      <alignment horizontal="center" vertical="center"/>
    </xf>
    <xf numFmtId="0" fontId="22" fillId="16" borderId="24" xfId="0" applyFont="1" applyFill="1" applyBorder="1" applyAlignment="1">
      <alignment horizontal="center" vertical="center"/>
    </xf>
    <xf numFmtId="0" fontId="26" fillId="10" borderId="20" xfId="0" applyFont="1" applyFill="1" applyBorder="1" applyAlignment="1">
      <alignment horizontal="center" vertical="center"/>
    </xf>
    <xf numFmtId="0" fontId="26" fillId="10" borderId="26" xfId="0" applyFont="1" applyFill="1" applyBorder="1" applyAlignment="1">
      <alignment horizontal="center" vertical="center"/>
    </xf>
    <xf numFmtId="0" fontId="27" fillId="12" borderId="2" xfId="0" applyFont="1" applyFill="1" applyBorder="1" applyAlignment="1">
      <alignment horizontal="center" vertical="center"/>
    </xf>
    <xf numFmtId="0" fontId="27" fillId="12" borderId="21" xfId="0" applyFont="1" applyFill="1" applyBorder="1" applyAlignment="1">
      <alignment horizontal="center" vertical="center"/>
    </xf>
    <xf numFmtId="0" fontId="22" fillId="2" borderId="6" xfId="0" applyFont="1" applyFill="1" applyBorder="1" applyAlignment="1">
      <alignment horizontal="center" vertical="center"/>
    </xf>
    <xf numFmtId="0" fontId="22" fillId="2" borderId="7" xfId="0" applyFont="1" applyFill="1" applyBorder="1" applyAlignment="1">
      <alignment horizontal="center" vertical="center"/>
    </xf>
    <xf numFmtId="0" fontId="23" fillId="0" borderId="25" xfId="0" applyFont="1" applyBorder="1" applyAlignment="1">
      <alignment horizontal="center" vertical="center"/>
    </xf>
    <xf numFmtId="0" fontId="24" fillId="9" borderId="0" xfId="0" applyFont="1" applyFill="1" applyAlignment="1">
      <alignment horizontal="center" vertical="center"/>
    </xf>
    <xf numFmtId="0" fontId="16" fillId="9" borderId="0" xfId="0" applyFont="1" applyFill="1" applyAlignment="1">
      <alignment horizontal="center" vertical="center"/>
    </xf>
    <xf numFmtId="0" fontId="18" fillId="11" borderId="22" xfId="0" applyFont="1" applyFill="1" applyBorder="1" applyAlignment="1">
      <alignment horizontal="center" vertical="center"/>
    </xf>
    <xf numFmtId="0" fontId="18" fillId="11" borderId="23" xfId="0" applyFont="1" applyFill="1" applyBorder="1" applyAlignment="1">
      <alignment horizontal="center" vertical="center"/>
    </xf>
    <xf numFmtId="0" fontId="18" fillId="11" borderId="24" xfId="0" applyFont="1" applyFill="1" applyBorder="1" applyAlignment="1">
      <alignment horizontal="center" vertical="center"/>
    </xf>
    <xf numFmtId="0" fontId="19" fillId="11" borderId="2" xfId="0" applyFont="1" applyFill="1" applyBorder="1" applyAlignment="1">
      <alignment horizontal="center"/>
    </xf>
    <xf numFmtId="0" fontId="19" fillId="11" borderId="3" xfId="0" applyFont="1" applyFill="1" applyBorder="1" applyAlignment="1">
      <alignment horizontal="center"/>
    </xf>
    <xf numFmtId="0" fontId="19" fillId="11" borderId="21" xfId="0" applyFont="1" applyFill="1" applyBorder="1" applyAlignment="1">
      <alignment horizontal="center"/>
    </xf>
    <xf numFmtId="0" fontId="19" fillId="11" borderId="20" xfId="0" applyFont="1" applyFill="1" applyBorder="1" applyAlignment="1">
      <alignment horizontal="center"/>
    </xf>
    <xf numFmtId="0" fontId="19" fillId="11" borderId="0" xfId="0" applyFont="1" applyFill="1" applyAlignment="1">
      <alignment horizontal="center"/>
    </xf>
    <xf numFmtId="0" fontId="18" fillId="11" borderId="20" xfId="0" applyFont="1" applyFill="1" applyBorder="1" applyAlignment="1">
      <alignment horizontal="center" vertical="center"/>
    </xf>
    <xf numFmtId="0" fontId="18" fillId="11" borderId="0" xfId="0" applyFont="1" applyFill="1" applyAlignment="1">
      <alignment horizontal="center" vertical="center"/>
    </xf>
    <xf numFmtId="0" fontId="20" fillId="13" borderId="1" xfId="4" applyFont="1" applyFill="1" applyBorder="1" applyAlignment="1">
      <alignment horizontal="left" vertical="center" wrapText="1"/>
    </xf>
    <xf numFmtId="0" fontId="8" fillId="0" borderId="0" xfId="4" applyFont="1" applyAlignment="1">
      <alignment horizontal="left" vertical="top" wrapText="1"/>
    </xf>
    <xf numFmtId="0" fontId="5" fillId="0" borderId="0" xfId="4" applyAlignment="1">
      <alignment horizontal="left" vertical="top" wrapText="1"/>
    </xf>
    <xf numFmtId="0" fontId="10" fillId="8" borderId="19" xfId="4" applyFont="1" applyFill="1" applyBorder="1" applyAlignment="1">
      <alignment horizontal="center" vertical="center" wrapText="1"/>
    </xf>
    <xf numFmtId="0" fontId="7" fillId="7" borderId="17" xfId="4" applyFont="1" applyFill="1" applyBorder="1" applyAlignment="1">
      <alignment horizontal="left" vertical="center" wrapText="1"/>
    </xf>
  </cellXfs>
  <cellStyles count="6">
    <cellStyle name="Currency" xfId="1" builtinId="4"/>
    <cellStyle name="Hyperlink" xfId="2" builtinId="8"/>
    <cellStyle name="Normal" xfId="0" builtinId="0"/>
    <cellStyle name="Normal 2" xfId="3" xr:uid="{9062B5F2-7488-4476-8C0C-A858AE251D68}"/>
    <cellStyle name="Normal 3" xfId="4" xr:uid="{91F06F9F-0428-4D46-8BBC-87020BCE8A5B}"/>
    <cellStyle name="Percent" xfId="5" builtinId="5"/>
  </cellStyles>
  <dxfs count="31">
    <dxf>
      <fill>
        <patternFill>
          <bgColor rgb="FFFFA168"/>
        </patternFill>
      </fill>
    </dxf>
    <dxf>
      <font>
        <b/>
        <i val="0"/>
      </font>
      <fill>
        <patternFill>
          <bgColor rgb="FFFFA168"/>
        </patternFill>
      </fill>
      <border>
        <left style="thin">
          <color auto="1"/>
        </left>
        <right style="thin">
          <color auto="1"/>
        </right>
        <top style="thin">
          <color auto="1"/>
        </top>
        <bottom style="thin">
          <color auto="1"/>
        </bottom>
      </border>
    </dxf>
    <dxf>
      <font>
        <b/>
        <i/>
        <color rgb="FFC00000"/>
      </font>
    </dxf>
    <dxf>
      <font>
        <b/>
        <i/>
        <color rgb="FFC00000"/>
      </font>
    </dxf>
    <dxf>
      <font>
        <b/>
        <i val="0"/>
        <color theme="1"/>
      </font>
      <fill>
        <patternFill>
          <bgColor rgb="FFFFA168"/>
        </patternFill>
      </fill>
    </dxf>
    <dxf>
      <font>
        <b/>
        <i val="0"/>
      </font>
      <fill>
        <patternFill>
          <bgColor rgb="FFFFA168"/>
        </patternFill>
      </fill>
      <border>
        <left style="thin">
          <color theme="1"/>
        </left>
        <right style="thin">
          <color theme="1"/>
        </right>
        <top style="thin">
          <color theme="1"/>
        </top>
        <bottom style="thin">
          <color theme="1"/>
        </bottom>
        <vertical/>
        <horizontal/>
      </border>
    </dxf>
    <dxf>
      <font>
        <b/>
        <i/>
        <color rgb="FFC00000"/>
      </font>
      <fill>
        <patternFill>
          <bgColor theme="0"/>
        </patternFill>
      </fill>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color rgb="FFC00000"/>
      </font>
    </dxf>
    <dxf>
      <font>
        <b/>
        <i val="0"/>
      </font>
      <fill>
        <patternFill patternType="none">
          <bgColor auto="1"/>
        </patternFill>
      </fill>
      <border>
        <left style="thin">
          <color auto="1"/>
        </left>
        <right style="thin">
          <color auto="1"/>
        </right>
        <top style="thin">
          <color auto="1"/>
        </top>
        <bottom style="thin">
          <color auto="1"/>
        </bottom>
      </border>
    </dxf>
    <dxf>
      <font>
        <b/>
        <i val="0"/>
        <color theme="1"/>
      </font>
      <fill>
        <patternFill>
          <bgColor rgb="FFFFA168"/>
        </patternFill>
      </fill>
    </dxf>
    <dxf>
      <font>
        <b/>
        <i val="0"/>
        <color theme="1"/>
      </font>
      <numFmt numFmtId="168" formatCode="&quot;$&quot;#,##0.00"/>
      <fill>
        <patternFill>
          <bgColor rgb="FFFFA168"/>
        </patternFill>
      </fill>
    </dxf>
    <dxf>
      <font>
        <b/>
        <i val="0"/>
        <color theme="1"/>
      </font>
      <fill>
        <patternFill>
          <bgColor rgb="FFFFA168"/>
        </patternFill>
      </fill>
    </dxf>
    <dxf>
      <font>
        <b/>
        <i val="0"/>
        <color theme="1"/>
      </font>
      <fill>
        <patternFill>
          <bgColor rgb="FFFFA168"/>
        </patternFill>
      </fill>
    </dxf>
    <dxf>
      <font>
        <b/>
        <i val="0"/>
        <color theme="1"/>
      </font>
      <fill>
        <patternFill>
          <bgColor rgb="FFFFA168"/>
        </patternFill>
      </fill>
    </dxf>
    <dxf>
      <font>
        <b/>
        <i val="0"/>
        <color theme="1"/>
      </font>
      <fill>
        <patternFill>
          <bgColor rgb="FFFFA168"/>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border>
    </dxf>
    <dxf>
      <font>
        <color theme="0"/>
      </font>
      <border>
        <left/>
        <right/>
        <top/>
        <bottom/>
        <vertical/>
        <horizontal/>
      </border>
    </dxf>
  </dxfs>
  <tableStyles count="1" defaultTableStyle="TableStyleMedium2" defaultPivotStyle="PivotStyleLight16">
    <tableStyle name="Invisible" pivot="0" table="0" count="0" xr9:uid="{FB3D6908-33E7-4889-AC46-7C9F4966F184}"/>
  </tableStyles>
  <colors>
    <mruColors>
      <color rgb="FFF4F1E2"/>
      <color rgb="FF008541"/>
      <color rgb="FFFFA168"/>
      <color rgb="FFBF8F00"/>
      <color rgb="FFF1E1C0"/>
      <color rgb="FFFFFF99"/>
      <color rgb="FF86CC90"/>
      <color rgb="FFFFFF00"/>
      <color rgb="FFFF71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https://prod-rf-lambda.rtssaas.com/PublicFiles/d89c47bd0d70402dba89b03a22bda6d1/2009aa19-c548-4aa0-9ad4-71b7e7507f12/20.2.92.html" TargetMode="External"/></Relationships>
</file>

<file path=xl/drawings/drawing1.xml><?xml version="1.0" encoding="utf-8"?>
<xdr:wsDr xmlns:xdr="http://schemas.openxmlformats.org/drawingml/2006/spreadsheetDrawing" xmlns:a="http://schemas.openxmlformats.org/drawingml/2006/main">
  <xdr:twoCellAnchor>
    <xdr:from>
      <xdr:col>13</xdr:col>
      <xdr:colOff>85726</xdr:colOff>
      <xdr:row>4</xdr:row>
      <xdr:rowOff>66675</xdr:rowOff>
    </xdr:from>
    <xdr:to>
      <xdr:col>14</xdr:col>
      <xdr:colOff>542926</xdr:colOff>
      <xdr:row>4</xdr:row>
      <xdr:rowOff>276225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1010727-C16E-4E11-8252-AD2B4B2AE82A}"/>
            </a:ext>
          </a:extLst>
        </xdr:cNvPr>
        <xdr:cNvSpPr/>
      </xdr:nvSpPr>
      <xdr:spPr>
        <a:xfrm>
          <a:off x="8010526" y="927735"/>
          <a:ext cx="1066800" cy="2095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editAs="oneCell">
    <xdr:from>
      <xdr:col>18</xdr:col>
      <xdr:colOff>492125</xdr:colOff>
      <xdr:row>1</xdr:row>
      <xdr:rowOff>1</xdr:rowOff>
    </xdr:from>
    <xdr:to>
      <xdr:col>22</xdr:col>
      <xdr:colOff>428625</xdr:colOff>
      <xdr:row>8</xdr:row>
      <xdr:rowOff>56382</xdr:rowOff>
    </xdr:to>
    <xdr:pic>
      <xdr:nvPicPr>
        <xdr:cNvPr id="3" name="Picture 2">
          <a:extLst>
            <a:ext uri="{FF2B5EF4-FFF2-40B4-BE49-F238E27FC236}">
              <a16:creationId xmlns:a16="http://schemas.microsoft.com/office/drawing/2014/main" id="{51DF6351-3389-435F-A549-4019642B3D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64875" y="190501"/>
          <a:ext cx="2286000" cy="10247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hyperlink" Target="https://docs.nrel.gov/docs/fy24osti/85902.pdf" TargetMode="External"/><Relationship Id="rId1" Type="http://schemas.openxmlformats.org/officeDocument/2006/relationships/hyperlink" Target="https://docs.nrel.gov/docs/fy24osti/85902.pdf"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https://cloud.env.nm.gov/resources/_translator.php/NzA3NTEwYzYzY2I0NzNhN2JmNDc3NGQ1NV8yMDMxMTU~.pdf" TargetMode="External"/><Relationship Id="rId1" Type="http://schemas.openxmlformats.org/officeDocument/2006/relationships/hyperlink" Target="https://www.env.nm.gov/opf/wp-content/uploads/sites/13/2025/11/NMED-R135-137.pdf"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hyperlink" Target="https://www.philadelphiafed.org/surveys-and-data/real-time-data-research/spf-q4-2024" TargetMode="External"/><Relationship Id="rId2" Type="http://schemas.openxmlformats.org/officeDocument/2006/relationships/hyperlink" Target="https://www.env.nm.gov/opf/wp-content/uploads/sites/13/2025/11/NMED-R135-137.pdf" TargetMode="External"/><Relationship Id="rId1" Type="http://schemas.openxmlformats.org/officeDocument/2006/relationships/hyperlink" Target="https://cloud.env.nm.gov/resources/_translator.php/NzA3NTEwYzYzY2I0NzNhN2JmNDc3NGQ1NV8yMDMxMTU~.pdf"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cbo.gov/system/files/2026-02/61882-Outlook-202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6AAE8-D34A-43BF-AC1E-609B72510487}">
  <sheetPr>
    <tabColor theme="1"/>
  </sheetPr>
  <dimension ref="A1:W33"/>
  <sheetViews>
    <sheetView tabSelected="1" zoomScale="120" zoomScaleNormal="120" workbookViewId="0">
      <selection activeCell="O17" sqref="O17"/>
    </sheetView>
  </sheetViews>
  <sheetFormatPr defaultColWidth="8.85546875" defaultRowHeight="15" x14ac:dyDescent="0.25"/>
  <cols>
    <col min="1" max="16384" width="8.85546875" style="50"/>
  </cols>
  <sheetData>
    <row r="1" spans="1:23" x14ac:dyDescent="0.25">
      <c r="A1" s="80"/>
      <c r="B1" s="80"/>
      <c r="C1" s="80"/>
      <c r="D1" s="80"/>
      <c r="E1" s="80"/>
      <c r="F1" s="80"/>
      <c r="G1" s="80"/>
      <c r="H1" s="80"/>
      <c r="I1" s="80"/>
      <c r="J1" s="80"/>
      <c r="K1" s="80"/>
      <c r="L1" s="80"/>
      <c r="M1" s="80"/>
      <c r="N1" s="80"/>
      <c r="O1" s="80"/>
      <c r="P1" s="80"/>
      <c r="Q1" s="80"/>
      <c r="R1" s="80"/>
      <c r="S1" s="80"/>
      <c r="T1" s="80"/>
      <c r="U1" s="80"/>
      <c r="V1" s="80"/>
      <c r="W1" s="80"/>
    </row>
    <row r="2" spans="1:23" ht="4.1500000000000004" customHeight="1" x14ac:dyDescent="0.25">
      <c r="A2" s="81"/>
      <c r="B2" s="82"/>
      <c r="C2" s="82"/>
      <c r="D2" s="82"/>
      <c r="E2" s="82"/>
      <c r="F2" s="82"/>
      <c r="G2" s="82"/>
      <c r="H2" s="82"/>
      <c r="I2" s="82"/>
      <c r="J2" s="82"/>
      <c r="K2" s="82"/>
      <c r="L2" s="82"/>
      <c r="M2" s="82"/>
      <c r="N2" s="82"/>
      <c r="O2" s="82"/>
      <c r="P2" s="82"/>
      <c r="Q2" s="82"/>
      <c r="R2" s="82"/>
      <c r="S2" s="82"/>
      <c r="T2" s="80"/>
      <c r="U2" s="80"/>
      <c r="V2" s="80"/>
      <c r="W2" s="80"/>
    </row>
    <row r="3" spans="1:23" s="79" customFormat="1" ht="16.5" x14ac:dyDescent="0.25">
      <c r="A3" s="83" t="s">
        <v>2</v>
      </c>
      <c r="B3" s="84"/>
      <c r="C3" s="84"/>
      <c r="D3" s="85"/>
      <c r="E3" s="85"/>
      <c r="F3" s="85"/>
      <c r="G3" s="85"/>
      <c r="H3" s="85"/>
      <c r="I3" s="85"/>
      <c r="J3" s="85"/>
      <c r="K3" s="85"/>
      <c r="L3" s="85"/>
      <c r="M3" s="85"/>
      <c r="N3" s="85"/>
      <c r="O3" s="85"/>
      <c r="P3" s="85"/>
      <c r="Q3" s="85"/>
      <c r="R3" s="85"/>
      <c r="S3" s="85"/>
      <c r="T3" s="85"/>
      <c r="U3" s="85"/>
      <c r="V3" s="85"/>
      <c r="W3" s="85"/>
    </row>
    <row r="4" spans="1:23" s="79" customFormat="1" ht="4.1500000000000004" customHeight="1" x14ac:dyDescent="0.25">
      <c r="A4" s="85"/>
      <c r="B4" s="84"/>
      <c r="C4" s="85"/>
      <c r="D4" s="85"/>
      <c r="E4" s="85"/>
      <c r="F4" s="85"/>
      <c r="G4" s="85"/>
      <c r="H4" s="85"/>
      <c r="I4" s="85"/>
      <c r="J4" s="85"/>
      <c r="K4" s="85"/>
      <c r="L4" s="85"/>
      <c r="M4" s="85"/>
      <c r="N4" s="85"/>
      <c r="O4" s="85"/>
      <c r="P4" s="85"/>
      <c r="Q4" s="85"/>
      <c r="R4" s="85"/>
      <c r="S4" s="85"/>
      <c r="T4" s="85"/>
      <c r="U4" s="85"/>
      <c r="V4" s="85"/>
      <c r="W4" s="85"/>
    </row>
    <row r="5" spans="1:23" s="79" customFormat="1" ht="16.5" x14ac:dyDescent="0.25">
      <c r="A5" s="85"/>
      <c r="B5" s="84" t="s">
        <v>3</v>
      </c>
      <c r="C5" s="84"/>
      <c r="D5" s="85"/>
      <c r="E5" s="85"/>
      <c r="F5" s="85"/>
      <c r="G5" s="85"/>
      <c r="H5" s="85"/>
      <c r="I5" s="85"/>
      <c r="J5" s="85"/>
      <c r="K5" s="85"/>
      <c r="L5" s="85"/>
      <c r="M5" s="85"/>
      <c r="N5" s="85"/>
      <c r="O5" s="85"/>
      <c r="P5" s="85"/>
      <c r="Q5" s="85"/>
      <c r="R5" s="85"/>
      <c r="S5" s="85"/>
      <c r="T5" s="85"/>
      <c r="U5" s="85"/>
      <c r="V5" s="85"/>
      <c r="W5" s="85"/>
    </row>
    <row r="6" spans="1:23" s="79" customFormat="1" ht="16.5" x14ac:dyDescent="0.25">
      <c r="A6" s="85"/>
      <c r="B6" s="84" t="s">
        <v>4</v>
      </c>
      <c r="C6" s="85"/>
      <c r="D6" s="85"/>
      <c r="E6" s="85"/>
      <c r="F6" s="85"/>
      <c r="G6" s="85"/>
      <c r="H6" s="85"/>
      <c r="I6" s="85"/>
      <c r="J6" s="85"/>
      <c r="K6" s="85"/>
      <c r="L6" s="85"/>
      <c r="M6" s="85"/>
      <c r="N6" s="85"/>
      <c r="O6" s="85"/>
      <c r="P6" s="85"/>
      <c r="Q6" s="85"/>
      <c r="R6" s="85"/>
      <c r="S6" s="85"/>
      <c r="T6" s="85"/>
      <c r="U6" s="85"/>
      <c r="V6" s="85"/>
      <c r="W6" s="85"/>
    </row>
    <row r="7" spans="1:23" s="79" customFormat="1" ht="16.5" x14ac:dyDescent="0.25">
      <c r="A7" s="85"/>
      <c r="B7" s="84" t="s">
        <v>5</v>
      </c>
      <c r="C7" s="85"/>
      <c r="D7" s="85"/>
      <c r="E7" s="85"/>
      <c r="F7" s="85"/>
      <c r="G7" s="85"/>
      <c r="H7" s="85"/>
      <c r="I7" s="85"/>
      <c r="J7" s="85"/>
      <c r="K7" s="85"/>
      <c r="L7" s="85"/>
      <c r="M7" s="85"/>
      <c r="N7" s="85"/>
      <c r="O7" s="85"/>
      <c r="P7" s="85"/>
      <c r="Q7" s="85"/>
      <c r="R7" s="85"/>
      <c r="S7" s="85"/>
      <c r="T7" s="85"/>
      <c r="U7" s="85"/>
      <c r="V7" s="85"/>
      <c r="W7" s="85"/>
    </row>
    <row r="8" spans="1:23" s="79" customFormat="1" ht="4.1500000000000004" customHeight="1" x14ac:dyDescent="0.25">
      <c r="A8" s="85"/>
      <c r="B8" s="84"/>
      <c r="C8" s="85"/>
      <c r="D8" s="85"/>
      <c r="E8" s="85"/>
      <c r="F8" s="85"/>
      <c r="G8" s="85"/>
      <c r="H8" s="85"/>
      <c r="I8" s="85"/>
      <c r="J8" s="85"/>
      <c r="K8" s="85"/>
      <c r="L8" s="85"/>
      <c r="M8" s="85"/>
      <c r="N8" s="85"/>
      <c r="O8" s="85"/>
      <c r="P8" s="85"/>
      <c r="Q8" s="85"/>
      <c r="R8" s="85"/>
      <c r="S8" s="85"/>
      <c r="T8" s="85"/>
      <c r="U8" s="85"/>
      <c r="V8" s="85"/>
      <c r="W8" s="85"/>
    </row>
    <row r="9" spans="1:23" s="79" customFormat="1" ht="16.5" x14ac:dyDescent="0.25">
      <c r="A9" s="83" t="s">
        <v>6</v>
      </c>
      <c r="B9" s="84"/>
      <c r="C9" s="84"/>
      <c r="D9" s="85"/>
      <c r="E9" s="85"/>
      <c r="F9" s="85"/>
      <c r="G9" s="85"/>
      <c r="H9" s="85"/>
      <c r="I9" s="85"/>
      <c r="J9" s="85"/>
      <c r="K9" s="85"/>
      <c r="L9" s="85"/>
      <c r="M9" s="85"/>
      <c r="N9" s="85"/>
      <c r="O9" s="85"/>
      <c r="P9" s="85"/>
      <c r="Q9" s="85"/>
      <c r="R9" s="85"/>
      <c r="S9" s="85"/>
      <c r="T9" s="85"/>
      <c r="U9" s="85"/>
      <c r="V9" s="85"/>
      <c r="W9" s="85"/>
    </row>
    <row r="10" spans="1:23" s="79" customFormat="1" ht="4.1500000000000004" customHeight="1" x14ac:dyDescent="0.25">
      <c r="A10" s="85"/>
      <c r="B10" s="84"/>
      <c r="C10" s="85"/>
      <c r="D10" s="85"/>
      <c r="E10" s="85"/>
      <c r="F10" s="85"/>
      <c r="G10" s="85"/>
      <c r="H10" s="85"/>
      <c r="I10" s="85"/>
      <c r="J10" s="85"/>
      <c r="K10" s="85"/>
      <c r="L10" s="85"/>
      <c r="M10" s="85"/>
      <c r="N10" s="85"/>
      <c r="O10" s="85"/>
      <c r="P10" s="85"/>
      <c r="Q10" s="85"/>
      <c r="R10" s="85"/>
      <c r="S10" s="85"/>
      <c r="T10" s="85"/>
      <c r="U10" s="85"/>
      <c r="V10" s="85"/>
      <c r="W10" s="85"/>
    </row>
    <row r="11" spans="1:23" s="79" customFormat="1" ht="16.5" x14ac:dyDescent="0.25">
      <c r="A11" s="85"/>
      <c r="B11" s="84" t="s">
        <v>7</v>
      </c>
      <c r="C11" s="85"/>
      <c r="D11" s="85"/>
      <c r="E11" s="85"/>
      <c r="F11" s="85"/>
      <c r="G11" s="85"/>
      <c r="H11" s="85"/>
      <c r="I11" s="85"/>
      <c r="J11" s="85"/>
      <c r="K11" s="85"/>
      <c r="L11" s="85"/>
      <c r="M11" s="85"/>
      <c r="N11" s="85"/>
      <c r="O11" s="85"/>
      <c r="P11" s="85"/>
      <c r="Q11" s="85"/>
      <c r="R11" s="85"/>
      <c r="S11" s="85"/>
      <c r="T11" s="85"/>
      <c r="U11" s="85"/>
      <c r="V11" s="85"/>
      <c r="W11" s="85"/>
    </row>
    <row r="12" spans="1:23" s="79" customFormat="1" ht="16.5" x14ac:dyDescent="0.25">
      <c r="A12" s="85"/>
      <c r="B12" s="84" t="s">
        <v>8</v>
      </c>
      <c r="C12" s="85"/>
      <c r="D12" s="85"/>
      <c r="E12" s="85"/>
      <c r="F12" s="85"/>
      <c r="G12" s="85"/>
      <c r="H12" s="85"/>
      <c r="I12" s="85"/>
      <c r="J12" s="85"/>
      <c r="K12" s="85"/>
      <c r="L12" s="85"/>
      <c r="M12" s="85"/>
      <c r="N12" s="85"/>
      <c r="O12" s="85"/>
      <c r="P12" s="85"/>
      <c r="Q12" s="85"/>
      <c r="R12" s="85"/>
      <c r="S12" s="85"/>
      <c r="T12" s="85"/>
      <c r="U12" s="85"/>
      <c r="V12" s="85"/>
      <c r="W12" s="85"/>
    </row>
    <row r="13" spans="1:23" s="79" customFormat="1" ht="4.1500000000000004" customHeight="1" x14ac:dyDescent="0.25">
      <c r="A13" s="85"/>
      <c r="B13" s="84"/>
      <c r="C13" s="85"/>
      <c r="D13" s="85"/>
      <c r="E13" s="85"/>
      <c r="F13" s="85"/>
      <c r="G13" s="85"/>
      <c r="H13" s="85"/>
      <c r="I13" s="85"/>
      <c r="J13" s="85"/>
      <c r="K13" s="85"/>
      <c r="L13" s="85"/>
      <c r="M13" s="85"/>
      <c r="N13" s="85"/>
      <c r="O13" s="85"/>
      <c r="P13" s="85"/>
      <c r="Q13" s="85"/>
      <c r="R13" s="85"/>
      <c r="S13" s="85"/>
      <c r="T13" s="85"/>
      <c r="U13" s="85"/>
      <c r="V13" s="85"/>
      <c r="W13" s="85"/>
    </row>
    <row r="14" spans="1:23" s="79" customFormat="1" ht="16.5" x14ac:dyDescent="0.25">
      <c r="A14" s="83" t="s">
        <v>9</v>
      </c>
      <c r="B14" s="84"/>
      <c r="C14" s="85"/>
      <c r="D14" s="85"/>
      <c r="E14" s="85"/>
      <c r="F14" s="85"/>
      <c r="G14" s="85"/>
      <c r="H14" s="85"/>
      <c r="I14" s="85"/>
      <c r="J14" s="85"/>
      <c r="K14" s="85"/>
      <c r="L14" s="85"/>
      <c r="M14" s="85"/>
      <c r="N14" s="85"/>
      <c r="O14" s="85"/>
      <c r="P14" s="85"/>
      <c r="Q14" s="85"/>
      <c r="R14" s="85"/>
      <c r="S14" s="85"/>
      <c r="T14" s="85"/>
      <c r="U14" s="85"/>
      <c r="V14" s="85"/>
      <c r="W14" s="85"/>
    </row>
    <row r="15" spans="1:23" s="79" customFormat="1" ht="4.1500000000000004" customHeight="1" x14ac:dyDescent="0.25">
      <c r="A15" s="85"/>
      <c r="B15" s="84"/>
      <c r="C15" s="85"/>
      <c r="D15" s="85"/>
      <c r="E15" s="85"/>
      <c r="F15" s="85"/>
      <c r="G15" s="85"/>
      <c r="H15" s="85"/>
      <c r="I15" s="85"/>
      <c r="J15" s="85"/>
      <c r="K15" s="85"/>
      <c r="L15" s="85"/>
      <c r="M15" s="85"/>
      <c r="N15" s="85"/>
      <c r="O15" s="85"/>
      <c r="P15" s="85"/>
      <c r="Q15" s="85"/>
      <c r="R15" s="85"/>
      <c r="S15" s="85"/>
      <c r="T15" s="85"/>
      <c r="U15" s="85"/>
      <c r="V15" s="85"/>
      <c r="W15" s="85"/>
    </row>
    <row r="16" spans="1:23" s="79" customFormat="1" ht="16.5" x14ac:dyDescent="0.25">
      <c r="A16" s="86" t="s">
        <v>10</v>
      </c>
      <c r="B16" s="84"/>
      <c r="C16" s="85"/>
      <c r="D16" s="85"/>
      <c r="E16" s="85"/>
      <c r="F16" s="85"/>
      <c r="G16" s="85"/>
      <c r="H16" s="85"/>
      <c r="I16" s="85"/>
      <c r="J16" s="85"/>
      <c r="K16" s="85"/>
      <c r="L16" s="85"/>
      <c r="M16" s="85"/>
      <c r="N16" s="85"/>
      <c r="O16" s="85"/>
      <c r="P16" s="85"/>
      <c r="Q16" s="85"/>
      <c r="R16" s="85"/>
      <c r="S16" s="85"/>
      <c r="T16" s="85"/>
      <c r="U16" s="85"/>
      <c r="V16" s="85"/>
      <c r="W16" s="85"/>
    </row>
    <row r="17" spans="1:23" s="79" customFormat="1" ht="16.5" x14ac:dyDescent="0.25">
      <c r="A17" s="85"/>
      <c r="B17" s="84" t="s">
        <v>11</v>
      </c>
      <c r="C17" s="84"/>
      <c r="D17" s="85"/>
      <c r="E17" s="85"/>
      <c r="F17" s="85"/>
      <c r="G17" s="85"/>
      <c r="H17" s="85"/>
      <c r="I17" s="85"/>
      <c r="J17" s="85"/>
      <c r="K17" s="85"/>
      <c r="L17" s="85"/>
      <c r="M17" s="85"/>
      <c r="N17" s="85"/>
      <c r="O17" s="85"/>
      <c r="P17" s="85"/>
      <c r="Q17" s="85"/>
      <c r="R17" s="85"/>
      <c r="S17" s="85"/>
      <c r="T17" s="85"/>
      <c r="U17" s="85"/>
      <c r="V17" s="85"/>
      <c r="W17" s="85"/>
    </row>
    <row r="18" spans="1:23" s="79" customFormat="1" ht="16.5" x14ac:dyDescent="0.25">
      <c r="A18" s="85"/>
      <c r="B18" s="84" t="s">
        <v>12</v>
      </c>
      <c r="C18" s="85"/>
      <c r="D18" s="85"/>
      <c r="E18" s="85"/>
      <c r="F18" s="85"/>
      <c r="G18" s="85"/>
      <c r="H18" s="85"/>
      <c r="I18" s="85"/>
      <c r="J18" s="85"/>
      <c r="K18" s="85"/>
      <c r="L18" s="85"/>
      <c r="M18" s="85"/>
      <c r="N18" s="85"/>
      <c r="O18" s="85"/>
      <c r="P18" s="85"/>
      <c r="Q18" s="85"/>
      <c r="R18" s="85"/>
      <c r="S18" s="85"/>
      <c r="T18" s="85"/>
      <c r="U18" s="85"/>
      <c r="V18" s="85"/>
      <c r="W18" s="85"/>
    </row>
    <row r="19" spans="1:23" s="79" customFormat="1" ht="16.5" x14ac:dyDescent="0.25">
      <c r="A19" s="85"/>
      <c r="B19" s="84"/>
      <c r="C19" s="84" t="s">
        <v>13</v>
      </c>
      <c r="D19" s="85"/>
      <c r="E19" s="85"/>
      <c r="F19" s="85"/>
      <c r="G19" s="85"/>
      <c r="H19" s="85"/>
      <c r="I19" s="85"/>
      <c r="J19" s="85"/>
      <c r="K19" s="85"/>
      <c r="L19" s="85"/>
      <c r="M19" s="85"/>
      <c r="N19" s="85"/>
      <c r="O19" s="85"/>
      <c r="P19" s="85"/>
      <c r="Q19" s="85"/>
      <c r="R19" s="85"/>
      <c r="S19" s="85"/>
      <c r="T19" s="85"/>
      <c r="U19" s="85"/>
      <c r="V19" s="85"/>
      <c r="W19" s="85"/>
    </row>
    <row r="20" spans="1:23" s="79" customFormat="1" ht="16.5" x14ac:dyDescent="0.25">
      <c r="A20" s="85"/>
      <c r="B20" s="84" t="s">
        <v>14</v>
      </c>
      <c r="C20" s="84"/>
      <c r="D20" s="85"/>
      <c r="E20" s="85"/>
      <c r="F20" s="85"/>
      <c r="G20" s="85"/>
      <c r="H20" s="85"/>
      <c r="I20" s="85"/>
      <c r="J20" s="85"/>
      <c r="K20" s="85"/>
      <c r="L20" s="85"/>
      <c r="M20" s="85"/>
      <c r="N20" s="85"/>
      <c r="O20" s="85"/>
      <c r="P20" s="85"/>
      <c r="Q20" s="85"/>
      <c r="R20" s="85"/>
      <c r="S20" s="85"/>
      <c r="T20" s="85"/>
      <c r="U20" s="85"/>
      <c r="V20" s="85"/>
      <c r="W20" s="85"/>
    </row>
    <row r="21" spans="1:23" s="79" customFormat="1" ht="16.5" x14ac:dyDescent="0.25">
      <c r="A21" s="85"/>
      <c r="B21" s="84" t="s">
        <v>15</v>
      </c>
      <c r="C21" s="84"/>
      <c r="D21" s="85"/>
      <c r="E21" s="85"/>
      <c r="F21" s="85"/>
      <c r="G21" s="85"/>
      <c r="H21" s="85"/>
      <c r="I21" s="85"/>
      <c r="J21" s="85"/>
      <c r="K21" s="85"/>
      <c r="L21" s="85"/>
      <c r="M21" s="85"/>
      <c r="N21" s="85"/>
      <c r="O21" s="85"/>
      <c r="P21" s="85"/>
      <c r="Q21" s="85"/>
      <c r="R21" s="85"/>
      <c r="S21" s="85"/>
      <c r="T21" s="85"/>
      <c r="U21" s="85"/>
      <c r="V21" s="85"/>
      <c r="W21" s="85"/>
    </row>
    <row r="22" spans="1:23" s="79" customFormat="1" ht="4.1500000000000004" customHeight="1" x14ac:dyDescent="0.25">
      <c r="A22" s="85"/>
      <c r="B22" s="84"/>
      <c r="C22" s="85"/>
      <c r="D22" s="85"/>
      <c r="E22" s="85"/>
      <c r="F22" s="85"/>
      <c r="G22" s="85"/>
      <c r="H22" s="85"/>
      <c r="I22" s="85"/>
      <c r="J22" s="85"/>
      <c r="K22" s="85"/>
      <c r="L22" s="85"/>
      <c r="M22" s="85"/>
      <c r="N22" s="85"/>
      <c r="O22" s="85"/>
      <c r="P22" s="85"/>
      <c r="Q22" s="85"/>
      <c r="R22" s="85"/>
      <c r="S22" s="85"/>
      <c r="T22" s="85"/>
      <c r="U22" s="85"/>
      <c r="V22" s="85"/>
      <c r="W22" s="85"/>
    </row>
    <row r="23" spans="1:23" s="79" customFormat="1" ht="16.5" x14ac:dyDescent="0.25">
      <c r="A23" s="86" t="s">
        <v>16</v>
      </c>
      <c r="B23" s="84"/>
      <c r="C23" s="84"/>
      <c r="D23" s="85"/>
      <c r="E23" s="85"/>
      <c r="F23" s="85"/>
      <c r="G23" s="85"/>
      <c r="H23" s="85"/>
      <c r="I23" s="85"/>
      <c r="J23" s="85"/>
      <c r="K23" s="85"/>
      <c r="L23" s="85"/>
      <c r="M23" s="85"/>
      <c r="N23" s="85"/>
      <c r="O23" s="85"/>
      <c r="P23" s="85"/>
      <c r="Q23" s="85"/>
      <c r="R23" s="85"/>
      <c r="S23" s="85"/>
      <c r="T23" s="85"/>
      <c r="U23" s="85"/>
      <c r="V23" s="85"/>
      <c r="W23" s="85"/>
    </row>
    <row r="24" spans="1:23" s="79" customFormat="1" ht="16.5" x14ac:dyDescent="0.25">
      <c r="A24" s="85"/>
      <c r="B24" s="84" t="s">
        <v>17</v>
      </c>
      <c r="C24" s="85"/>
      <c r="D24" s="85"/>
      <c r="E24" s="85"/>
      <c r="F24" s="85"/>
      <c r="G24" s="85"/>
      <c r="H24" s="85"/>
      <c r="I24" s="85"/>
      <c r="J24" s="85"/>
      <c r="K24" s="85"/>
      <c r="L24" s="85"/>
      <c r="M24" s="85"/>
      <c r="N24" s="85"/>
      <c r="O24" s="85"/>
      <c r="P24" s="85"/>
      <c r="Q24" s="85"/>
      <c r="R24" s="85"/>
      <c r="S24" s="85"/>
      <c r="T24" s="85"/>
      <c r="U24" s="85"/>
      <c r="V24" s="85"/>
      <c r="W24" s="85"/>
    </row>
    <row r="25" spans="1:23" s="79" customFormat="1" ht="16.5" x14ac:dyDescent="0.25">
      <c r="A25" s="87"/>
      <c r="B25" s="84"/>
      <c r="C25" s="84" t="s">
        <v>18</v>
      </c>
      <c r="D25" s="85"/>
      <c r="E25" s="85"/>
      <c r="F25" s="85"/>
      <c r="G25" s="85"/>
      <c r="H25" s="85"/>
      <c r="I25" s="85"/>
      <c r="J25" s="85"/>
      <c r="K25" s="85"/>
      <c r="L25" s="85"/>
      <c r="M25" s="85"/>
      <c r="N25" s="85"/>
      <c r="O25" s="85"/>
      <c r="P25" s="85"/>
      <c r="Q25" s="85"/>
      <c r="R25" s="85"/>
      <c r="S25" s="85"/>
      <c r="T25" s="85"/>
      <c r="U25" s="85"/>
      <c r="V25" s="85"/>
      <c r="W25" s="85"/>
    </row>
    <row r="26" spans="1:23" s="79" customFormat="1" ht="16.5" x14ac:dyDescent="0.25">
      <c r="A26" s="87"/>
      <c r="B26" s="84"/>
      <c r="C26" s="84" t="s">
        <v>215</v>
      </c>
      <c r="D26" s="85"/>
      <c r="E26" s="85"/>
      <c r="F26" s="85"/>
      <c r="G26" s="85"/>
      <c r="H26" s="85"/>
      <c r="I26" s="85"/>
      <c r="J26" s="85"/>
      <c r="K26" s="85"/>
      <c r="L26" s="85"/>
      <c r="M26" s="85"/>
      <c r="N26" s="85"/>
      <c r="O26" s="85"/>
      <c r="P26" s="85"/>
      <c r="Q26" s="85"/>
      <c r="R26" s="85"/>
      <c r="S26" s="85"/>
      <c r="T26" s="85"/>
      <c r="U26" s="85"/>
      <c r="V26" s="85"/>
      <c r="W26" s="85"/>
    </row>
    <row r="27" spans="1:23" s="79" customFormat="1" ht="16.5" x14ac:dyDescent="0.25">
      <c r="A27" s="85"/>
      <c r="B27" s="84" t="s">
        <v>19</v>
      </c>
      <c r="C27" s="85"/>
      <c r="D27" s="85"/>
      <c r="E27" s="85"/>
      <c r="F27" s="85"/>
      <c r="G27" s="85"/>
      <c r="H27" s="85"/>
      <c r="I27" s="85"/>
      <c r="J27" s="85"/>
      <c r="K27" s="85"/>
      <c r="L27" s="85"/>
      <c r="M27" s="85"/>
      <c r="N27" s="85"/>
      <c r="O27" s="85"/>
      <c r="P27" s="85"/>
      <c r="Q27" s="85"/>
      <c r="R27" s="85"/>
      <c r="S27" s="85"/>
      <c r="T27" s="85"/>
      <c r="U27" s="85"/>
      <c r="V27" s="85"/>
      <c r="W27" s="85"/>
    </row>
    <row r="28" spans="1:23" s="79" customFormat="1" ht="16.5" x14ac:dyDescent="0.25">
      <c r="A28" s="85"/>
      <c r="B28" s="84" t="s">
        <v>20</v>
      </c>
      <c r="C28" s="85"/>
      <c r="D28" s="85"/>
      <c r="E28" s="85"/>
      <c r="F28" s="85"/>
      <c r="G28" s="85"/>
      <c r="H28" s="85"/>
      <c r="I28" s="85"/>
      <c r="J28" s="85"/>
      <c r="K28" s="85"/>
      <c r="L28" s="85"/>
      <c r="M28" s="85"/>
      <c r="N28" s="85"/>
      <c r="O28" s="85"/>
      <c r="P28" s="85"/>
      <c r="Q28" s="85"/>
      <c r="R28" s="85"/>
      <c r="S28" s="85"/>
      <c r="T28" s="85"/>
      <c r="U28" s="85"/>
      <c r="V28" s="85"/>
      <c r="W28" s="85"/>
    </row>
    <row r="29" spans="1:23" x14ac:dyDescent="0.25">
      <c r="A29" s="80"/>
      <c r="B29" s="80"/>
      <c r="C29" s="80"/>
      <c r="D29" s="80"/>
      <c r="E29" s="80"/>
      <c r="F29" s="80"/>
      <c r="G29" s="80"/>
      <c r="H29" s="80"/>
      <c r="I29" s="80"/>
      <c r="J29" s="80"/>
      <c r="K29" s="80"/>
      <c r="L29" s="80"/>
      <c r="M29" s="80"/>
      <c r="N29" s="80"/>
      <c r="O29" s="80"/>
      <c r="P29" s="80"/>
      <c r="Q29" s="80"/>
      <c r="R29" s="80"/>
      <c r="S29" s="80"/>
      <c r="T29" s="80"/>
      <c r="U29" s="80"/>
      <c r="V29" s="80"/>
      <c r="W29" s="80"/>
    </row>
    <row r="30" spans="1:23" x14ac:dyDescent="0.25">
      <c r="A30" s="80"/>
      <c r="B30" s="80"/>
      <c r="C30" s="80"/>
      <c r="D30" s="80"/>
      <c r="E30" s="80"/>
      <c r="F30" s="80"/>
      <c r="G30" s="80"/>
      <c r="H30" s="80"/>
      <c r="I30" s="80"/>
      <c r="J30" s="80"/>
      <c r="K30" s="80"/>
      <c r="L30" s="80"/>
      <c r="M30" s="80"/>
      <c r="N30" s="80"/>
      <c r="O30" s="80"/>
      <c r="P30" s="80"/>
      <c r="Q30" s="80"/>
      <c r="R30" s="80"/>
      <c r="S30" s="80"/>
      <c r="T30" s="80"/>
      <c r="U30" s="80"/>
      <c r="V30" s="80"/>
      <c r="W30" s="80"/>
    </row>
    <row r="31" spans="1:23" x14ac:dyDescent="0.25">
      <c r="A31" s="80"/>
      <c r="B31" s="80"/>
      <c r="C31" s="80"/>
      <c r="D31" s="80"/>
      <c r="E31" s="80"/>
      <c r="F31" s="80"/>
      <c r="G31" s="80"/>
      <c r="H31" s="80"/>
      <c r="I31" s="80"/>
      <c r="J31" s="80"/>
      <c r="K31" s="80"/>
      <c r="L31" s="80"/>
      <c r="M31" s="80"/>
      <c r="N31" s="80"/>
      <c r="O31" s="80"/>
      <c r="P31" s="80"/>
      <c r="Q31" s="80"/>
      <c r="R31" s="80"/>
      <c r="S31" s="80"/>
      <c r="T31" s="80"/>
      <c r="U31" s="80"/>
      <c r="V31" s="80"/>
      <c r="W31" s="80"/>
    </row>
    <row r="32" spans="1:23" x14ac:dyDescent="0.25">
      <c r="A32" s="80"/>
      <c r="B32" s="80"/>
      <c r="C32" s="80"/>
      <c r="D32" s="80"/>
      <c r="E32" s="80"/>
      <c r="F32" s="80"/>
      <c r="G32" s="80"/>
      <c r="H32" s="80"/>
      <c r="I32" s="80"/>
      <c r="J32" s="80"/>
      <c r="K32" s="80"/>
      <c r="L32" s="80"/>
      <c r="M32" s="80"/>
      <c r="N32" s="80"/>
      <c r="O32" s="80"/>
      <c r="P32" s="80"/>
      <c r="Q32" s="80"/>
      <c r="R32" s="80"/>
      <c r="S32" s="80"/>
      <c r="T32" s="80"/>
      <c r="U32" s="80"/>
      <c r="V32" s="80"/>
      <c r="W32" s="80"/>
    </row>
    <row r="33" spans="1:23" ht="18" x14ac:dyDescent="0.25">
      <c r="A33" s="108" t="s">
        <v>0</v>
      </c>
      <c r="B33" s="109"/>
      <c r="C33" s="109" t="s">
        <v>1</v>
      </c>
      <c r="D33" s="109"/>
      <c r="E33" s="109"/>
      <c r="F33" s="109"/>
      <c r="G33" s="109"/>
      <c r="H33" s="109"/>
      <c r="I33" s="109"/>
      <c r="J33" s="109"/>
      <c r="K33" s="109"/>
      <c r="L33" s="109"/>
      <c r="M33" s="109"/>
      <c r="N33" s="109"/>
      <c r="O33" s="109"/>
      <c r="P33" s="109"/>
      <c r="Q33" s="109"/>
      <c r="R33" s="109"/>
      <c r="S33" s="109"/>
      <c r="T33" s="80"/>
      <c r="U33" s="80"/>
      <c r="V33" s="80"/>
      <c r="W33" s="80"/>
    </row>
  </sheetData>
  <sheetProtection algorithmName="SHA-512" hashValue="BrlXSIEeOVN2jFAGpAR/UFg1Vpy+HsJC+ZeE8cYs0AFiWtIxwHdnUMI13TbOlYK/6d9pnb6spqYQIMw25gltag==" saltValue="BUB6PDu5/mTkv5cHqkzQsg==" spinCount="100000" sheet="1" objects="1" scenarios="1"/>
  <mergeCells count="1">
    <mergeCell ref="A33:S3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0D212-5E93-454C-829A-320FDB02D363}">
  <sheetPr>
    <tabColor rgb="FFF4F1E2"/>
  </sheetPr>
  <dimension ref="A1:O9"/>
  <sheetViews>
    <sheetView workbookViewId="0">
      <selection activeCell="E15" sqref="E15"/>
    </sheetView>
  </sheetViews>
  <sheetFormatPr defaultRowHeight="15" x14ac:dyDescent="0.25"/>
  <cols>
    <col min="1" max="1" width="19.7109375" bestFit="1" customWidth="1"/>
    <col min="2" max="2" width="24.85546875" bestFit="1" customWidth="1"/>
    <col min="4" max="5" width="27.5703125" bestFit="1" customWidth="1"/>
  </cols>
  <sheetData>
    <row r="1" spans="1:15" ht="22.5" x14ac:dyDescent="0.25">
      <c r="A1" s="118" t="s">
        <v>202</v>
      </c>
      <c r="B1" s="119"/>
      <c r="C1" s="119"/>
      <c r="D1" s="119"/>
      <c r="E1" s="119"/>
      <c r="F1" s="119"/>
      <c r="G1" s="119"/>
      <c r="H1" s="119"/>
      <c r="I1" s="119"/>
      <c r="J1" s="119"/>
      <c r="K1" s="119"/>
      <c r="L1" s="119"/>
      <c r="M1" s="119"/>
      <c r="N1" s="119"/>
      <c r="O1" s="119"/>
    </row>
    <row r="2" spans="1:15" ht="19.5" x14ac:dyDescent="0.4">
      <c r="A2" s="116" t="s">
        <v>203</v>
      </c>
      <c r="B2" s="117"/>
      <c r="C2" s="117"/>
      <c r="D2" s="117"/>
      <c r="E2" s="117"/>
      <c r="F2" s="117"/>
      <c r="G2" s="117"/>
      <c r="H2" s="117"/>
      <c r="I2" s="117"/>
      <c r="J2" s="117"/>
      <c r="K2" s="117"/>
      <c r="L2" s="117"/>
      <c r="M2" s="117"/>
      <c r="N2" s="117"/>
      <c r="O2" s="117"/>
    </row>
    <row r="4" spans="1:15" s="1" customFormat="1" x14ac:dyDescent="0.25">
      <c r="A4" s="1" t="s">
        <v>204</v>
      </c>
      <c r="B4" s="1" t="s">
        <v>205</v>
      </c>
      <c r="D4" s="1" t="s">
        <v>206</v>
      </c>
      <c r="E4" s="1" t="s">
        <v>207</v>
      </c>
    </row>
    <row r="6" spans="1:15" x14ac:dyDescent="0.25">
      <c r="A6" t="s">
        <v>41</v>
      </c>
      <c r="B6" t="s">
        <v>41</v>
      </c>
      <c r="D6" t="s">
        <v>46</v>
      </c>
      <c r="E6" t="s">
        <v>46</v>
      </c>
    </row>
    <row r="7" spans="1:15" x14ac:dyDescent="0.25">
      <c r="A7" t="s">
        <v>208</v>
      </c>
      <c r="B7" t="s">
        <v>208</v>
      </c>
      <c r="D7" t="s">
        <v>179</v>
      </c>
      <c r="E7" t="s">
        <v>179</v>
      </c>
    </row>
    <row r="8" spans="1:15" x14ac:dyDescent="0.25">
      <c r="A8" t="s">
        <v>209</v>
      </c>
      <c r="B8" t="s">
        <v>209</v>
      </c>
      <c r="D8" t="s">
        <v>210</v>
      </c>
      <c r="E8" t="s">
        <v>210</v>
      </c>
    </row>
    <row r="9" spans="1:15" x14ac:dyDescent="0.25">
      <c r="B9" t="s">
        <v>211</v>
      </c>
      <c r="E9" t="s">
        <v>212</v>
      </c>
    </row>
  </sheetData>
  <sheetProtection algorithmName="SHA-512" hashValue="1FBlrfYZTbhguwEo9lr66xjuPPO3f2hfc4rI3+QnQ/SurRRmUGissv6DnqysyBwMwabwa7jCOLWtflYW9xfFrg==" saltValue="Q/uCpTHl6PXW2P+c56NBOw==" spinCount="100000" sheet="1" objects="1" scenarios="1"/>
  <mergeCells count="2">
    <mergeCell ref="A1:O1"/>
    <mergeCell ref="A2:O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C3082-14C0-404B-9F40-3685BEEEA076}">
  <sheetPr>
    <tabColor rgb="FF008541"/>
  </sheetPr>
  <dimension ref="A1:J41"/>
  <sheetViews>
    <sheetView zoomScale="120" zoomScaleNormal="120" workbookViewId="0">
      <selection activeCell="I9" sqref="I9"/>
    </sheetView>
  </sheetViews>
  <sheetFormatPr defaultColWidth="8.85546875" defaultRowHeight="15" x14ac:dyDescent="0.25"/>
  <cols>
    <col min="1" max="1" width="37" style="50" customWidth="1"/>
    <col min="2" max="2" width="36.7109375" style="75" customWidth="1"/>
    <col min="3" max="3" width="19.85546875" style="50" bestFit="1" customWidth="1"/>
    <col min="4" max="4" width="2.7109375" style="50" customWidth="1"/>
    <col min="5" max="5" width="24" style="75" customWidth="1"/>
    <col min="6" max="6" width="6.5703125" style="75" bestFit="1" customWidth="1"/>
    <col min="7" max="7" width="11" style="75" customWidth="1"/>
    <col min="8" max="8" width="14.5703125" style="75" customWidth="1"/>
    <col min="9" max="9" width="9.42578125" style="50" customWidth="1"/>
    <col min="10" max="10" width="8.7109375" style="50" customWidth="1"/>
    <col min="11" max="16384" width="8.85546875" style="50"/>
  </cols>
  <sheetData>
    <row r="1" spans="1:10" ht="19.5" x14ac:dyDescent="0.25">
      <c r="A1" s="89" t="s">
        <v>21</v>
      </c>
      <c r="B1" s="90"/>
      <c r="C1" s="90"/>
      <c r="D1" s="90"/>
      <c r="E1" s="90"/>
      <c r="F1" s="90"/>
      <c r="G1" s="90"/>
      <c r="H1" s="91"/>
    </row>
    <row r="2" spans="1:10" ht="18.75" thickBot="1" x14ac:dyDescent="0.3">
      <c r="A2" s="92" t="s">
        <v>22</v>
      </c>
      <c r="B2" s="93"/>
      <c r="C2" s="93"/>
      <c r="D2" s="93"/>
      <c r="E2" s="93"/>
      <c r="F2" s="93"/>
      <c r="G2" s="93"/>
      <c r="H2" s="94"/>
    </row>
    <row r="3" spans="1:10" ht="4.1500000000000004" customHeight="1" thickBot="1" x14ac:dyDescent="0.3">
      <c r="A3" s="52"/>
      <c r="B3" s="53"/>
      <c r="C3" s="53"/>
      <c r="D3" s="53"/>
      <c r="E3" s="53"/>
      <c r="F3" s="53"/>
      <c r="G3" s="53"/>
      <c r="H3" s="53"/>
    </row>
    <row r="4" spans="1:10" s="51" customFormat="1" ht="16.149999999999999" customHeight="1" thickBot="1" x14ac:dyDescent="0.3">
      <c r="A4" s="97" t="s">
        <v>23</v>
      </c>
      <c r="B4" s="98"/>
      <c r="E4" s="88" t="s">
        <v>24</v>
      </c>
      <c r="F4" s="88"/>
      <c r="G4" s="88"/>
      <c r="H4" s="88"/>
    </row>
    <row r="5" spans="1:10" s="51" customFormat="1" ht="16.149999999999999" customHeight="1" thickBot="1" x14ac:dyDescent="0.3">
      <c r="A5" s="99" t="s">
        <v>25</v>
      </c>
      <c r="B5" s="100"/>
      <c r="E5" s="54" t="s">
        <v>26</v>
      </c>
      <c r="F5" s="55" t="s">
        <v>27</v>
      </c>
      <c r="G5" s="55" t="s">
        <v>28</v>
      </c>
      <c r="H5" s="56" t="s">
        <v>29</v>
      </c>
      <c r="I5" s="51" t="str">
        <f>IF(B16="Manual (Different annual Cis)","Input below","")</f>
        <v/>
      </c>
      <c r="J5" s="51" t="str">
        <f>IF(B19="Manual (Different annual prices)","Input below","")</f>
        <v/>
      </c>
    </row>
    <row r="6" spans="1:10" s="51" customFormat="1" ht="16.149999999999999" customHeight="1" x14ac:dyDescent="0.25">
      <c r="A6" s="101" t="s">
        <v>30</v>
      </c>
      <c r="B6" s="102"/>
      <c r="E6" s="57" cm="1">
        <f t="array" ref="E6">IF(B18="All Years",INDEX(Years,ROW()-5),IF(C18="","Populate cell C18",C18))</f>
        <v>2026</v>
      </c>
      <c r="F6" s="58">
        <f>_xlfn.IFNA(IF(E6="","",IF($B$16="Statewide grid average",VLOOKUP(Calculator!E6,'(C) StatewideGridAvg'!$A$4:$B$18,2,FALSE),IF(Calculator!$B$16="Gen mix",'(D) GenMix_CI'!$B$27,IF(Calculator!$B$16="Manual (single CI)",IF($C$16="","Populate cell C16",Calculator!$C$16),IF(Calculator!B$16="Manual (Different annual CIs)",IF(I6="","populate Column I",Calculator!I6),"Update cell B8"))))),"Populate cell C16")</f>
        <v>62.32</v>
      </c>
      <c r="G6" s="59">
        <f>IF(E6="","",_xlfn.IFNA(IF(B$19="Manual (Single price)",IF(C$19="","Populate cell C19",C$19*IF($B$20="Nominal",1,INDEX('(G) Inflation'!$B$12:$M$16,MATCH($B$21,'(G) Inflation'!$A$12:$A$16,0),MATCH($C$20,'(F) Credit Price_nom'!$B$5:$P$5,0))/INDEX('(G) Inflation'!$B$12:$M$16,MATCH($B$21,'(G) Inflation'!$A$12:$A$16,0),MATCH($E$6,'(F) Credit Price_nom'!$B$5:$P$5,0)))),IF(B$19="Manual (Different annual prices)",IF(J6="","Populate Column J",J6),INDEX('(F) Credit Price_nom'!$B$6:$P$7,MATCH($B$19,'(F) Credit Price_nom'!$A$6:$A$7,0),MATCH(E6,'(F)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91.27</v>
      </c>
      <c r="H6" s="60">
        <f>IF(AND($B$14="Manual",$C$14=""),"Populate Cell C14",IF(AND($B$15="Manual",$C$15=""),"Populate Cell C15",IFERROR(IF(E6="","",(IF($B$12="Light-medium-duty (14k pounds or less)",3.4,5)*VLOOKUP(E6,'(B) CI Standard'!$A$5:$C$19,IF($B$12="Light-medium-duty (14k pounds or less)",2,3),FALSE)-F6)*IF($B$14="Manual",$C$14,$B$14)*IF($B$15="Manual",$C$15,$B$15)*IFERROR((DATE(E6+1,1,1)-DATE(E6,1,1)),366)*3.6/1000000*G6*$B$13),G6)))</f>
        <v>44367.009342739206</v>
      </c>
      <c r="J6" s="61"/>
    </row>
    <row r="7" spans="1:10" s="51" customFormat="1" ht="16.149999999999999" customHeight="1" thickBot="1" x14ac:dyDescent="0.3">
      <c r="A7" s="103" t="s">
        <v>31</v>
      </c>
      <c r="B7" s="104"/>
      <c r="E7" s="57" cm="1">
        <f t="array" ref="E7">IF(B$18="All Years",INDEX(Years,ROW()-5),"")</f>
        <v>2027</v>
      </c>
      <c r="F7" s="58">
        <f>_xlfn.IFNA(IF(E7="","",IF($B$16="Statewide grid average",VLOOKUP(Calculator!E7,'(C) StatewideGridAvg'!$A$4:$B$18,2,FALSE),IF(Calculator!$B$16="Gen mix",'(D) GenMix_CI'!$B$27,IF(Calculator!$B$16="Manual (single CI)",IF($C$16="","Populate cell C16",Calculator!$C$16),IF(Calculator!B$16="Manual (Different annual CIs)",IF(I7="","populate Column I",Calculator!I7),"Update cell B8"))))),"Populate cell C16")</f>
        <v>61.25</v>
      </c>
      <c r="G7" s="59">
        <f>IF(E7="","",_xlfn.IFNA(IF(B$19="Manual (Single price)",IF(C$19="","Populate cell C19",C$19*IF($B$20="Nominal",1,INDEX('(G) Inflation'!$B$12:$M$16,MATCH($B$21,'(G) Inflation'!$A$12:$A$16,0),MATCH($C$20,'(F) Credit Price_nom'!$B$5:$P$5,0))/INDEX('(G) Inflation'!$B$12:$M$16,MATCH($B$21,'(G) Inflation'!$A$12:$A$16,0),MATCH($E$6,'(F) Credit Price_nom'!$B$5:$P$5,0)))),IF(B$19="Manual (Different annual prices)",IF(J7="","Populate Column J",J7),INDEX('(F) Credit Price_nom'!$B$6:$P$7,MATCH($B$19,'(F) Credit Price_nom'!$A$6:$A$7,0),MATCH(E7,'(F)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69.12</v>
      </c>
      <c r="H7" s="60">
        <f>IF(AND($B$14="Manual",$C$14=""),"Populate Cell C14",IF(AND($B$15="Manual",$C$15=""),"Populate Cell C15",IFERROR(IF(E7="","",(IF($B$12="Light-medium-duty (14k pounds or less)",3.4,5)*VLOOKUP(E7,'(B) CI Standard'!$A$5:$C$19,IF($B$12="Light-medium-duty (14k pounds or less)",2,3),FALSE)-F7)*IF($B$14="Manual",$C$14,$B$14)*IF($B$15="Manual",$C$15,$B$15)*IFERROR((DATE(E7+1,1,1)-DATE(E7,1,1)),366)*3.6/1000000*G7*$B$13),G7)))</f>
        <v>33099.345985536005</v>
      </c>
      <c r="J7" s="61"/>
    </row>
    <row r="8" spans="1:10" s="51" customFormat="1" ht="16.149999999999999" customHeight="1" thickBot="1" x14ac:dyDescent="0.3">
      <c r="B8" s="62"/>
      <c r="E8" s="57" cm="1">
        <f t="array" ref="E8">IF(B$18="All Years",INDEX(Years,ROW()-5),"")</f>
        <v>2028</v>
      </c>
      <c r="F8" s="58">
        <f>_xlfn.IFNA(IF(E8="","",IF($B$16="Statewide grid average",VLOOKUP(Calculator!E8,'(C) StatewideGridAvg'!$A$4:$B$18,2,FALSE),IF(Calculator!$B$16="Gen mix",'(D) GenMix_CI'!$B$27,IF(Calculator!$B$16="Manual (single CI)",IF($C$16="","Populate cell C16",Calculator!$C$16),IF(Calculator!B$16="Manual (Different annual CIs)",IF(I8="","populate Column I",Calculator!I8),"Update cell B8"))))),"Populate cell C16")</f>
        <v>60.47</v>
      </c>
      <c r="G8" s="59">
        <f>IF(E8="","",_xlfn.IFNA(IF(B$19="Manual (Single price)",IF(C$19="","Populate cell C19",C$19*IF($B$20="Nominal",1,INDEX('(G) Inflation'!$B$12:$M$16,MATCH($B$21,'(G) Inflation'!$A$12:$A$16,0),MATCH($C$20,'(F) Credit Price_nom'!$B$5:$P$5,0))/INDEX('(G) Inflation'!$B$12:$M$16,MATCH($B$21,'(G) Inflation'!$A$12:$A$16,0),MATCH($E$6,'(F) Credit Price_nom'!$B$5:$P$5,0)))),IF(B$19="Manual (Different annual prices)",IF(J8="","Populate Column J",J8),INDEX('(F) Credit Price_nom'!$B$6:$P$7,MATCH($B$19,'(F) Credit Price_nom'!$A$6:$A$7,0),MATCH(E8,'(F)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65.31</v>
      </c>
      <c r="H8" s="60">
        <f>IF(AND($B$14="Manual",$C$14=""),"Populate Cell C14",IF(AND($B$15="Manual",$C$15=""),"Populate Cell C15",IFERROR(IF(E8="","",(IF($B$12="Light-medium-duty (14k pounds or less)",3.4,5)*VLOOKUP(E8,'(B) CI Standard'!$A$5:$C$19,IF($B$12="Light-medium-duty (14k pounds or less)",2,3),FALSE)-F8)*IF($B$14="Manual",$C$14,$B$14)*IF($B$15="Manual",$C$15,$B$15)*IFERROR((DATE(E8+1,1,1)-DATE(E8,1,1)),366)*3.6/1000000*G8*$B$13),G8)))</f>
        <v>30370.211044024316</v>
      </c>
      <c r="J8" s="61"/>
    </row>
    <row r="9" spans="1:10" s="51" customFormat="1" ht="16.149999999999999" customHeight="1" thickBot="1" x14ac:dyDescent="0.3">
      <c r="A9" s="105" t="s">
        <v>32</v>
      </c>
      <c r="B9" s="106"/>
      <c r="E9" s="57" cm="1">
        <f t="array" ref="E9">IF(B$18="All Years",INDEX(Years,ROW()-5),"")</f>
        <v>2029</v>
      </c>
      <c r="F9" s="58">
        <f>_xlfn.IFNA(IF(E9="","",IF($B$16="Statewide grid average",VLOOKUP(Calculator!E9,'(C) StatewideGridAvg'!$A$4:$B$18,2,FALSE),IF(Calculator!$B$16="Gen mix",'(D) GenMix_CI'!$B$27,IF(Calculator!$B$16="Manual (single CI)",IF($C$16="","Populate cell C16",Calculator!$C$16),IF(Calculator!B$16="Manual (Different annual CIs)",IF(I9="","populate Column I",Calculator!I9),"Update cell B8"))))),"Populate cell C16")</f>
        <v>58.89</v>
      </c>
      <c r="G9" s="59">
        <f>IF(E9="","",_xlfn.IFNA(IF(B$19="Manual (Single price)",IF(C$19="","Populate cell C19",C$19*IF($B$20="Nominal",1,INDEX('(G) Inflation'!$B$12:$M$16,MATCH($B$21,'(G) Inflation'!$A$12:$A$16,0),MATCH($C$20,'(F) Credit Price_nom'!$B$5:$P$5,0))/INDEX('(G) Inflation'!$B$12:$M$16,MATCH($B$21,'(G) Inflation'!$A$12:$A$16,0),MATCH($E$6,'(F) Credit Price_nom'!$B$5:$P$5,0)))),IF(B$19="Manual (Different annual prices)",IF(J9="","Populate Column J",J9),INDEX('(F) Credit Price_nom'!$B$6:$P$7,MATCH($B$19,'(F) Credit Price_nom'!$A$6:$A$7,0),MATCH(E9,'(F)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47.92</v>
      </c>
      <c r="H9" s="60">
        <f>IF(AND($B$14="Manual",$C$14=""),"Populate Cell C14",IF(AND($B$15="Manual",$C$15=""),"Populate Cell C15",IFERROR(IF(E9="","",(IF($B$12="Light-medium-duty (14k pounds or less)",3.4,5)*VLOOKUP(E9,'(B) CI Standard'!$A$5:$C$19,IF($B$12="Light-medium-duty (14k pounds or less)",2,3),FALSE)-F9)*IF($B$14="Manual",$C$14,$B$14)*IF($B$15="Manual",$C$15,$B$15)*IFERROR((DATE(E9+1,1,1)-DATE(E9,1,1)),366)*3.6/1000000*G9*$B$13),G9)))</f>
        <v>20892.350335795199</v>
      </c>
      <c r="J9" s="61"/>
    </row>
    <row r="10" spans="1:10" s="51" customFormat="1" ht="16.149999999999999" customHeight="1" thickBot="1" x14ac:dyDescent="0.3">
      <c r="A10" s="95" t="s">
        <v>33</v>
      </c>
      <c r="B10" s="107"/>
      <c r="C10" s="39" t="s">
        <v>34</v>
      </c>
      <c r="E10" s="57" cm="1">
        <f t="array" ref="E10">IF(B$18="All Years",INDEX(Years,ROW()-5),"")</f>
        <v>2030</v>
      </c>
      <c r="F10" s="58">
        <f>_xlfn.IFNA(IF(E10="","",IF($B$16="Statewide grid average",VLOOKUP(Calculator!E10,'(C) StatewideGridAvg'!$A$4:$B$18,2,FALSE),IF(Calculator!$B$16="Gen mix",'(D) GenMix_CI'!$B$27,IF(Calculator!$B$16="Manual (single CI)",IF($C$16="","Populate cell C16",Calculator!$C$16),IF(Calculator!B$16="Manual (Different annual CIs)",IF(I10="","populate Column I",Calculator!I10),"Update cell B8"))))),"Populate cell C16")</f>
        <v>48.88</v>
      </c>
      <c r="G10" s="59">
        <f>IF(E10="","",_xlfn.IFNA(IF(B$19="Manual (Single price)",IF(C$19="","Populate cell C19",C$19*IF($B$20="Nominal",1,INDEX('(G) Inflation'!$B$12:$M$16,MATCH($B$21,'(G) Inflation'!$A$12:$A$16,0),MATCH($C$20,'(F) Credit Price_nom'!$B$5:$P$5,0))/INDEX('(G) Inflation'!$B$12:$M$16,MATCH($B$21,'(G) Inflation'!$A$12:$A$16,0),MATCH($E$6,'(F) Credit Price_nom'!$B$5:$P$5,0)))),IF(B$19="Manual (Different annual prices)",IF(J10="","Populate Column J",J10),INDEX('(F) Credit Price_nom'!$B$6:$P$7,MATCH($B$19,'(F) Credit Price_nom'!$A$6:$A$7,0),MATCH(E10,'(F)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122.85</v>
      </c>
      <c r="H10" s="60">
        <f>IF(AND($B$14="Manual",$C$14=""),"Populate Cell C14",IF(AND($B$15="Manual",$C$15=""),"Populate Cell C15",IFERROR(IF(E10="","",(IF($B$12="Light-medium-duty (14k pounds or less)",3.4,5)*VLOOKUP(E10,'(B) CI Standard'!$A$5:$C$19,IF($B$12="Light-medium-duty (14k pounds or less)",2,3),FALSE)-F10)*IF($B$14="Manual",$C$14,$B$14)*IF($B$15="Manual",$C$15,$B$15)*IFERROR((DATE(E10+1,1,1)-DATE(E10,1,1)),366)*3.6/1000000*G10*$B$13),G10)))</f>
        <v>49090.57766121599</v>
      </c>
      <c r="J10" s="61"/>
    </row>
    <row r="11" spans="1:10" s="51" customFormat="1" ht="16.149999999999999" customHeight="1" x14ac:dyDescent="0.25">
      <c r="A11" s="45" t="s">
        <v>35</v>
      </c>
      <c r="B11" s="77" t="s">
        <v>213</v>
      </c>
      <c r="C11" s="63"/>
      <c r="E11" s="57" cm="1">
        <f t="array" ref="E11">IF(B$18="All Years",INDEX(Years,ROW()-5),"")</f>
        <v>2031</v>
      </c>
      <c r="F11" s="58">
        <f>_xlfn.IFNA(IF(E11="","",IF($B$16="Statewide grid average",VLOOKUP(Calculator!E11,'(C) StatewideGridAvg'!$A$4:$B$18,2,FALSE),IF(Calculator!$B$16="Gen mix",'(D) GenMix_CI'!$B$27,IF(Calculator!$B$16="Manual (single CI)",IF($C$16="","Populate cell C16",Calculator!$C$16),IF(Calculator!B$16="Manual (Different annual CIs)",IF(I11="","populate Column I",Calculator!I11),"Update cell B8"))))),"Populate cell C16")</f>
        <v>34.54</v>
      </c>
      <c r="G11" s="59">
        <f>IF(E11="","",_xlfn.IFNA(IF(B$19="Manual (Single price)",IF(C$19="","Populate cell C19",C$19*IF($B$20="Nominal",1,INDEX('(G) Inflation'!$B$12:$M$16,MATCH($B$21,'(G) Inflation'!$A$12:$A$16,0),MATCH($C$20,'(F) Credit Price_nom'!$B$5:$P$5,0))/INDEX('(G) Inflation'!$B$12:$M$16,MATCH($B$21,'(G) Inflation'!$A$12:$A$16,0),MATCH($E$6,'(F) Credit Price_nom'!$B$5:$P$5,0)))),IF(B$19="Manual (Different annual prices)",IF(J11="","Populate Column J",J11),INDEX('(F) Credit Price_nom'!$B$6:$P$7,MATCH($B$19,'(F) Credit Price_nom'!$A$6:$A$7,0),MATCH(E11,'(F)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106.1</v>
      </c>
      <c r="H11" s="60">
        <f>IF(AND($B$14="Manual",$C$14=""),"Populate Cell C14",IF(AND($B$15="Manual",$C$15=""),"Populate Cell C15",IFERROR(IF(E11="","",(IF($B$12="Light-medium-duty (14k pounds or less)",3.4,5)*VLOOKUP(E11,'(B) CI Standard'!$A$5:$C$19,IF($B$12="Light-medium-duty (14k pounds or less)",2,3),FALSE)-F11)*IF($B$14="Manual",$C$14,$B$14)*IF($B$15="Manual",$C$15,$B$15)*IFERROR((DATE(E11+1,1,1)-DATE(E11,1,1)),366)*3.6/1000000*G11*$B$13),G11)))</f>
        <v>44620.913714112001</v>
      </c>
      <c r="J11" s="61"/>
    </row>
    <row r="12" spans="1:10" s="51" customFormat="1" ht="16.149999999999999" customHeight="1" x14ac:dyDescent="0.25">
      <c r="A12" s="40" t="s">
        <v>36</v>
      </c>
      <c r="B12" s="41" t="s">
        <v>214</v>
      </c>
      <c r="C12" s="63"/>
      <c r="E12" s="57" cm="1">
        <f t="array" ref="E12">IF(B$18="All Years",INDEX(Years,ROW()-5),"")</f>
        <v>2032</v>
      </c>
      <c r="F12" s="58">
        <f>_xlfn.IFNA(IF(E12="","",IF($B$16="Statewide grid average",VLOOKUP(Calculator!E12,'(C) StatewideGridAvg'!$A$4:$B$18,2,FALSE),IF(Calculator!$B$16="Gen mix",'(D) GenMix_CI'!$B$27,IF(Calculator!$B$16="Manual (single CI)",IF($C$16="","Populate cell C16",Calculator!$C$16),IF(Calculator!B$16="Manual (Different annual CIs)",IF(I12="","populate Column I",Calculator!I12),"Update cell B8"))))),"Populate cell C16")</f>
        <v>24.38</v>
      </c>
      <c r="G12" s="59">
        <f>IF(E12="","",_xlfn.IFNA(IF(B$19="Manual (Single price)",IF(C$19="","Populate cell C19",C$19*IF($B$20="Nominal",1,INDEX('(G) Inflation'!$B$12:$M$16,MATCH($B$21,'(G) Inflation'!$A$12:$A$16,0),MATCH($C$20,'(F) Credit Price_nom'!$B$5:$P$5,0))/INDEX('(G) Inflation'!$B$12:$M$16,MATCH($B$21,'(G) Inflation'!$A$12:$A$16,0),MATCH($E$6,'(F) Credit Price_nom'!$B$5:$P$5,0)))),IF(B$19="Manual (Different annual prices)",IF(J12="","Populate Column J",J12),INDEX('(F) Credit Price_nom'!$B$6:$P$7,MATCH($B$19,'(F) Credit Price_nom'!$A$6:$A$7,0),MATCH(E12,'(F)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89.08</v>
      </c>
      <c r="H12" s="60">
        <f>IF(AND($B$14="Manual",$C$14=""),"Populate Cell C14",IF(AND($B$15="Manual",$C$15=""),"Populate Cell C15",IFERROR(IF(E12="","",(IF($B$12="Light-medium-duty (14k pounds or less)",3.4,5)*VLOOKUP(E12,'(B) CI Standard'!$A$5:$C$19,IF($B$12="Light-medium-duty (14k pounds or less)",2,3),FALSE)-F12)*IF($B$14="Manual",$C$14,$B$14)*IF($B$15="Manual",$C$15,$B$15)*IFERROR((DATE(E12+1,1,1)-DATE(E12,1,1)),366)*3.6/1000000*G12*$B$13),G12)))</f>
        <v>38736.978363555841</v>
      </c>
      <c r="J12" s="61"/>
    </row>
    <row r="13" spans="1:10" s="51" customFormat="1" ht="16.149999999999999" customHeight="1" x14ac:dyDescent="0.25">
      <c r="A13" s="40" t="s">
        <v>37</v>
      </c>
      <c r="B13" s="41">
        <v>15</v>
      </c>
      <c r="C13" s="63"/>
      <c r="E13" s="57" cm="1">
        <f t="array" ref="E13">IF(B$18="All Years",INDEX(Years,ROW()-5),"")</f>
        <v>2033</v>
      </c>
      <c r="F13" s="58">
        <f>_xlfn.IFNA(IF(E13="","",IF($B$16="Statewide grid average",VLOOKUP(Calculator!E13,'(C) StatewideGridAvg'!$A$4:$B$18,2,FALSE),IF(Calculator!$B$16="Gen mix",'(D) GenMix_CI'!$B$27,IF(Calculator!$B$16="Manual (single CI)",IF($C$16="","Populate cell C16",Calculator!$C$16),IF(Calculator!B$16="Manual (Different annual CIs)",IF(I13="","populate Column I",Calculator!I13),"Update cell B8"))))),"Populate cell C16")</f>
        <v>22.7</v>
      </c>
      <c r="G13" s="59">
        <f>IF(E13="","",_xlfn.IFNA(IF(B$19="Manual (Single price)",IF(C$19="","Populate cell C19",C$19*IF($B$20="Nominal",1,INDEX('(G) Inflation'!$B$12:$M$16,MATCH($B$21,'(G) Inflation'!$A$12:$A$16,0),MATCH($C$20,'(F) Credit Price_nom'!$B$5:$P$5,0))/INDEX('(G) Inflation'!$B$12:$M$16,MATCH($B$21,'(G) Inflation'!$A$12:$A$16,0),MATCH($E$6,'(F) Credit Price_nom'!$B$5:$P$5,0)))),IF(B$19="Manual (Different annual prices)",IF(J13="","Populate Column J",J13),INDEX('(F) Credit Price_nom'!$B$6:$P$7,MATCH($B$19,'(F) Credit Price_nom'!$A$6:$A$7,0),MATCH(E13,'(F)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73.540000000000006</v>
      </c>
      <c r="H13" s="60">
        <f>IF(AND($B$14="Manual",$C$14=""),"Populate Cell C14",IF(AND($B$15="Manual",$C$15=""),"Populate Cell C15",IFERROR(IF(E13="","",(IF($B$12="Light-medium-duty (14k pounds or less)",3.4,5)*VLOOKUP(E13,'(B) CI Standard'!$A$5:$C$19,IF($B$12="Light-medium-duty (14k pounds or less)",2,3),FALSE)-F13)*IF($B$14="Manual",$C$14,$B$14)*IF($B$15="Manual",$C$15,$B$15)*IFERROR((DATE(E13+1,1,1)-DATE(E13,1,1)),366)*3.6/1000000*G13*$B$13),G13)))</f>
        <v>31671.527196211206</v>
      </c>
      <c r="J13" s="61"/>
    </row>
    <row r="14" spans="1:10" s="51" customFormat="1" ht="16.149999999999999" customHeight="1" x14ac:dyDescent="0.25">
      <c r="A14" s="42" t="s">
        <v>38</v>
      </c>
      <c r="B14" s="41">
        <v>19.2</v>
      </c>
      <c r="C14" s="63"/>
      <c r="E14" s="57" cm="1">
        <f t="array" ref="E14">IF(B$18="All Years",INDEX(Years,ROW()-5),"")</f>
        <v>2034</v>
      </c>
      <c r="F14" s="58">
        <f>_xlfn.IFNA(IF(E14="","",IF($B$16="Statewide grid average",VLOOKUP(Calculator!E14,'(C) StatewideGridAvg'!$A$4:$B$18,2,FALSE),IF(Calculator!$B$16="Gen mix",'(D) GenMix_CI'!$B$27,IF(Calculator!$B$16="Manual (single CI)",IF($C$16="","Populate cell C16",Calculator!$C$16),IF(Calculator!B$16="Manual (Different annual CIs)",IF(I14="","populate Column I",Calculator!I14),"Update cell B8"))))),"Populate cell C16")</f>
        <v>22.38</v>
      </c>
      <c r="G14" s="59">
        <f>IF(E14="","",_xlfn.IFNA(IF(B$19="Manual (Single price)",IF(C$19="","Populate cell C19",C$19*IF($B$20="Nominal",1,INDEX('(G) Inflation'!$B$12:$M$16,MATCH($B$21,'(G) Inflation'!$A$12:$A$16,0),MATCH($C$20,'(F) Credit Price_nom'!$B$5:$P$5,0))/INDEX('(G) Inflation'!$B$12:$M$16,MATCH($B$21,'(G) Inflation'!$A$12:$A$16,0),MATCH($E$6,'(F) Credit Price_nom'!$B$5:$P$5,0)))),IF(B$19="Manual (Different annual prices)",IF(J14="","Populate Column J",J14),INDEX('(F) Credit Price_nom'!$B$6:$P$7,MATCH($B$19,'(F) Credit Price_nom'!$A$6:$A$7,0),MATCH(E14,'(F)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75.239999999999995</v>
      </c>
      <c r="H14" s="60">
        <f>IF(AND($B$14="Manual",$C$14=""),"Populate Cell C14",IF(AND($B$15="Manual",$C$15=""),"Populate Cell C15",IFERROR(IF(E14="","",(IF($B$12="Light-medium-duty (14k pounds or less)",3.4,5)*VLOOKUP(E14,'(B) CI Standard'!$A$5:$C$19,IF($B$12="Light-medium-duty (14k pounds or less)",2,3),FALSE)-F14)*IF($B$14="Manual",$C$14,$B$14)*IF($B$15="Manual",$C$15,$B$15)*IFERROR((DATE(E14+1,1,1)-DATE(E14,1,1)),366)*3.6/1000000*G14*$B$13),G14)))</f>
        <v>31984.541624217596</v>
      </c>
      <c r="J14" s="61"/>
    </row>
    <row r="15" spans="1:10" s="51" customFormat="1" ht="16.149999999999999" customHeight="1" x14ac:dyDescent="0.25">
      <c r="A15" s="42" t="s">
        <v>39</v>
      </c>
      <c r="B15" s="76" t="s">
        <v>60</v>
      </c>
      <c r="C15" s="63">
        <v>5</v>
      </c>
      <c r="E15" s="57" cm="1">
        <f t="array" ref="E15">IF(B$18="All Years",INDEX(Years,ROW()-5),"")</f>
        <v>2035</v>
      </c>
      <c r="F15" s="58">
        <f>_xlfn.IFNA(IF(E15="","",IF($B$16="Statewide grid average",VLOOKUP(Calculator!E15,'(C) StatewideGridAvg'!$A$4:$B$18,2,FALSE),IF(Calculator!$B$16="Gen mix",'(D) GenMix_CI'!$B$27,IF(Calculator!$B$16="Manual (single CI)",IF($C$16="","Populate cell C16",Calculator!$C$16),IF(Calculator!B$16="Manual (Different annual CIs)",IF(I15="","populate Column I",Calculator!I15),"Update cell B8"))))),"Populate cell C16")</f>
        <v>19.850000000000001</v>
      </c>
      <c r="G15" s="59">
        <f>IF(E15="","",_xlfn.IFNA(IF(B$19="Manual (Single price)",IF(C$19="","Populate cell C19",C$19*IF($B$20="Nominal",1,INDEX('(G) Inflation'!$B$12:$M$16,MATCH($B$21,'(G) Inflation'!$A$12:$A$16,0),MATCH($C$20,'(F) Credit Price_nom'!$B$5:$P$5,0))/INDEX('(G) Inflation'!$B$12:$M$16,MATCH($B$21,'(G) Inflation'!$A$12:$A$16,0),MATCH($E$6,'(F) Credit Price_nom'!$B$5:$P$5,0)))),IF(B$19="Manual (Different annual prices)",IF(J15="","Populate Column J",J15),INDEX('(F) Credit Price_nom'!$B$6:$P$7,MATCH($B$19,'(F) Credit Price_nom'!$A$6:$A$7,0),MATCH(E15,'(F)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77.25</v>
      </c>
      <c r="H15" s="60">
        <f>IF(AND($B$14="Manual",$C$14=""),"Populate Cell C14",IF(AND($B$15="Manual",$C$15=""),"Populate Cell C15",IFERROR(IF(E15="","",(IF($B$12="Light-medium-duty (14k pounds or less)",3.4,5)*VLOOKUP(E15,'(B) CI Standard'!$A$5:$C$19,IF($B$12="Light-medium-duty (14k pounds or less)",2,3),FALSE)-F15)*IF($B$14="Manual",$C$14,$B$14)*IF($B$15="Manual",$C$15,$B$15)*IFERROR((DATE(E15+1,1,1)-DATE(E15,1,1)),366)*3.6/1000000*G15*$B$13),G15)))</f>
        <v>32736.674543039993</v>
      </c>
      <c r="J15" s="61"/>
    </row>
    <row r="16" spans="1:10" s="51" customFormat="1" ht="16.149999999999999" customHeight="1" thickBot="1" x14ac:dyDescent="0.3">
      <c r="A16" s="43" t="s">
        <v>40</v>
      </c>
      <c r="B16" s="44" t="s">
        <v>41</v>
      </c>
      <c r="C16" s="63">
        <v>50</v>
      </c>
      <c r="E16" s="57" cm="1">
        <f t="array" ref="E16">IF(B$18="All Years",INDEX(Years,ROW()-5),"")</f>
        <v>2036</v>
      </c>
      <c r="F16" s="58">
        <f>_xlfn.IFNA(IF(E16="","",IF($B$16="Statewide grid average",VLOOKUP(Calculator!E16,'(C) StatewideGridAvg'!$A$4:$B$18,2,FALSE),IF(Calculator!$B$16="Gen mix",'(D) GenMix_CI'!$B$27,IF(Calculator!$B$16="Manual (single CI)",IF($C$16="","Populate cell C16",Calculator!$C$16),IF(Calculator!B$16="Manual (Different annual CIs)",IF(I16="","populate Column I",Calculator!I16),"Update cell B8"))))),"Populate cell C16")</f>
        <v>18.510000000000002</v>
      </c>
      <c r="G16" s="59">
        <f>IF(E16="","",_xlfn.IFNA(IF(B$19="Manual (Single price)",IF(C$19="","Populate cell C19",C$19*IF($B$20="Nominal",1,INDEX('(G) Inflation'!$B$12:$M$16,MATCH($B$21,'(G) Inflation'!$A$12:$A$16,0),MATCH($C$20,'(F) Credit Price_nom'!$B$5:$P$5,0))/INDEX('(G) Inflation'!$B$12:$M$16,MATCH($B$21,'(G) Inflation'!$A$12:$A$16,0),MATCH($E$6,'(F) Credit Price_nom'!$B$5:$P$5,0)))),IF(B$19="Manual (Different annual prices)",IF(J16="","Populate Column J",J16),INDEX('(F) Credit Price_nom'!$B$6:$P$7,MATCH($B$19,'(F) Credit Price_nom'!$A$6:$A$7,0),MATCH(E16,'(F)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78.930000000000007</v>
      </c>
      <c r="H16" s="60">
        <f>IF(AND($B$14="Manual",$C$14=""),"Populate Cell C14",IF(AND($B$15="Manual",$C$15=""),"Populate Cell C15",IFERROR(IF(E16="","",(IF($B$12="Light-medium-duty (14k pounds or less)",3.4,5)*VLOOKUP(E16,'(B) CI Standard'!$A$5:$C$19,IF($B$12="Light-medium-duty (14k pounds or less)",2,3),FALSE)-F16)*IF($B$14="Manual",$C$14,$B$14)*IF($B$15="Manual",$C$15,$B$15)*IFERROR((DATE(E16+1,1,1)-DATE(E16,1,1)),366)*3.6/1000000*G16*$B$13),G16)))</f>
        <v>33252.124640716793</v>
      </c>
      <c r="J16" s="61"/>
    </row>
    <row r="17" spans="1:10" s="51" customFormat="1" ht="16.149999999999999" customHeight="1" thickBot="1" x14ac:dyDescent="0.3">
      <c r="A17" s="95" t="s">
        <v>42</v>
      </c>
      <c r="B17" s="96"/>
      <c r="C17" s="39" t="s">
        <v>34</v>
      </c>
      <c r="E17" s="57" cm="1">
        <f t="array" ref="E17">IF(B$18="All Years",INDEX(Years,ROW()-5),"")</f>
        <v>2037</v>
      </c>
      <c r="F17" s="58">
        <f>_xlfn.IFNA(IF(E17="","",IF($B$16="Statewide grid average",VLOOKUP(Calculator!E17,'(C) StatewideGridAvg'!$A$4:$B$18,2,FALSE),IF(Calculator!$B$16="Gen mix",'(D) GenMix_CI'!$B$27,IF(Calculator!$B$16="Manual (single CI)",IF($C$16="","Populate cell C16",Calculator!$C$16),IF(Calculator!B$16="Manual (Different annual CIs)",IF(I17="","populate Column I",Calculator!I17),"Update cell B8"))))),"Populate cell C16")</f>
        <v>16.760000000000002</v>
      </c>
      <c r="G17" s="59">
        <f>IF(E17="","",_xlfn.IFNA(IF(B$19="Manual (Single price)",IF(C$19="","Populate cell C19",C$19*IF($B$20="Nominal",1,INDEX('(G) Inflation'!$B$12:$M$16,MATCH($B$21,'(G) Inflation'!$A$12:$A$16,0),MATCH($C$20,'(F) Credit Price_nom'!$B$5:$P$5,0))/INDEX('(G) Inflation'!$B$12:$M$16,MATCH($B$21,'(G) Inflation'!$A$12:$A$16,0),MATCH($E$6,'(F) Credit Price_nom'!$B$5:$P$5,0)))),IF(B$19="Manual (Different annual prices)",IF(J17="","Populate Column J",J17),INDEX('(F) Credit Price_nom'!$B$6:$P$7,MATCH($B$19,'(F) Credit Price_nom'!$A$6:$A$7,0),MATCH(E17,'(F)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80.900000000000006</v>
      </c>
      <c r="H17" s="60">
        <f>IF(AND($B$14="Manual",$C$14=""),"Populate Cell C14",IF(AND($B$15="Manual",$C$15=""),"Populate Cell C15",IFERROR(IF(E17="","",(IF($B$12="Light-medium-duty (14k pounds or less)",3.4,5)*VLOOKUP(E17,'(B) CI Standard'!$A$5:$C$19,IF($B$12="Light-medium-duty (14k pounds or less)",2,3),FALSE)-F17)*IF($B$14="Manual",$C$14,$B$14)*IF($B$15="Manual",$C$15,$B$15)*IFERROR((DATE(E17+1,1,1)-DATE(E17,1,1)),366)*3.6/1000000*G17*$B$13),G17)))</f>
        <v>33762.386096639995</v>
      </c>
      <c r="J17" s="61"/>
    </row>
    <row r="18" spans="1:10" s="51" customFormat="1" ht="16.149999999999999" customHeight="1" x14ac:dyDescent="0.25">
      <c r="A18" s="45" t="s">
        <v>43</v>
      </c>
      <c r="B18" s="46" t="s">
        <v>44</v>
      </c>
      <c r="C18" s="35">
        <v>2028</v>
      </c>
      <c r="E18" s="57" cm="1">
        <f t="array" ref="E18">IF(B$18="All Years",INDEX(Years,ROW()-5),"")</f>
        <v>2038</v>
      </c>
      <c r="F18" s="58">
        <f>_xlfn.IFNA(IF(E18="","",IF($B$16="Statewide grid average",VLOOKUP(Calculator!E18,'(C) StatewideGridAvg'!$A$4:$B$18,2,FALSE),IF(Calculator!$B$16="Gen mix",'(D) GenMix_CI'!$B$27,IF(Calculator!$B$16="Manual (single CI)",IF($C$16="","Populate cell C16",Calculator!$C$16),IF(Calculator!B$16="Manual (Different annual CIs)",IF(I18="","populate Column I",Calculator!I18),"Update cell B8"))))),"Populate cell C16")</f>
        <v>16.89</v>
      </c>
      <c r="G18" s="59">
        <f>IF(E18="","",_xlfn.IFNA(IF(B$19="Manual (Single price)",IF(C$19="","Populate cell C19",C$19*IF($B$20="Nominal",1,INDEX('(G) Inflation'!$B$12:$M$16,MATCH($B$21,'(G) Inflation'!$A$12:$A$16,0),MATCH($C$20,'(F) Credit Price_nom'!$B$5:$P$5,0))/INDEX('(G) Inflation'!$B$12:$M$16,MATCH($B$21,'(G) Inflation'!$A$12:$A$16,0),MATCH($E$6,'(F) Credit Price_nom'!$B$5:$P$5,0)))),IF(B$19="Manual (Different annual prices)",IF(J18="","Populate Column J",J18),INDEX('(F) Credit Price_nom'!$B$6:$P$7,MATCH($B$19,'(F) Credit Price_nom'!$A$6:$A$7,0),MATCH(E18,'(F)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82.85</v>
      </c>
      <c r="H18" s="60">
        <f>IF(AND($B$14="Manual",$C$14=""),"Populate Cell C14",IF(AND($B$15="Manual",$C$15=""),"Populate Cell C15",IFERROR(IF(E18="","",(IF($B$12="Light-medium-duty (14k pounds or less)",3.4,5)*VLOOKUP(E18,'(B) CI Standard'!$A$5:$C$19,IF($B$12="Light-medium-duty (14k pounds or less)",2,3),FALSE)-F18)*IF($B$14="Manual",$C$14,$B$14)*IF($B$15="Manual",$C$15,$B$15)*IFERROR((DATE(E18+1,1,1)-DATE(E18,1,1)),366)*3.6/1000000*G18*$B$13),G18)))</f>
        <v>34044.127017695995</v>
      </c>
      <c r="J18" s="61"/>
    </row>
    <row r="19" spans="1:10" s="51" customFormat="1" ht="16.149999999999999" customHeight="1" x14ac:dyDescent="0.25">
      <c r="A19" s="40" t="s">
        <v>45</v>
      </c>
      <c r="B19" s="47" t="s">
        <v>179</v>
      </c>
      <c r="C19" s="63">
        <v>20</v>
      </c>
      <c r="E19" s="57" cm="1">
        <f t="array" ref="E19">IF(B$18="All Years",INDEX(Years,ROW()-5),"")</f>
        <v>2039</v>
      </c>
      <c r="F19" s="58">
        <f>_xlfn.IFNA(IF(E19="","",IF($B$16="Statewide grid average",VLOOKUP(Calculator!E19,'(C) StatewideGridAvg'!$A$4:$B$18,2,FALSE),IF(Calculator!$B$16="Gen mix",'(D) GenMix_CI'!$B$27,IF(Calculator!$B$16="Manual (single CI)",IF($C$16="","Populate cell C16",Calculator!$C$16),IF(Calculator!B$16="Manual (Different annual CIs)",IF(I19="","populate Column I",Calculator!I19),"Update cell B8"))))),"Populate cell C16")</f>
        <v>17.18</v>
      </c>
      <c r="G19" s="59">
        <f>IF(E19="","",_xlfn.IFNA(IF(B$19="Manual (Single price)",IF(C$19="","Populate cell C19",C$19*IF($B$20="Nominal",1,INDEX('(G) Inflation'!$B$12:$M$16,MATCH($B$21,'(G) Inflation'!$A$12:$A$16,0),MATCH($C$20,'(F) Credit Price_nom'!$B$5:$P$5,0))/INDEX('(G) Inflation'!$B$12:$M$16,MATCH($B$21,'(G) Inflation'!$A$12:$A$16,0),MATCH($E$6,'(F) Credit Price_nom'!$B$5:$P$5,0)))),IF(B$19="Manual (Different annual prices)",IF(J19="","Populate Column J",J19),INDEX('(F) Credit Price_nom'!$B$6:$P$7,MATCH($B$19,'(F) Credit Price_nom'!$A$6:$A$7,0),MATCH(E19,'(F)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84.72</v>
      </c>
      <c r="H19" s="60">
        <f>IF(AND($B$14="Manual",$C$14=""),"Populate Cell C14",IF(AND($B$15="Manual",$C$15=""),"Populate Cell C15",IFERROR(IF(E19="","",(IF($B$12="Light-medium-duty (14k pounds or less)",3.4,5)*VLOOKUP(E19,'(B) CI Standard'!$A$5:$C$19,IF($B$12="Light-medium-duty (14k pounds or less)",2,3),FALSE)-F19)*IF($B$14="Manual",$C$14,$B$14)*IF($B$15="Manual",$C$15,$B$15)*IFERROR((DATE(E19+1,1,1)-DATE(E19,1,1)),366)*3.6/1000000*G19*$B$13),G19)))</f>
        <v>34242.814300262391</v>
      </c>
      <c r="J19" s="61"/>
    </row>
    <row r="20" spans="1:10" s="51" customFormat="1" ht="16.149999999999999" customHeight="1" thickBot="1" x14ac:dyDescent="0.3">
      <c r="A20" s="40" t="s">
        <v>47</v>
      </c>
      <c r="B20" s="47" t="s">
        <v>48</v>
      </c>
      <c r="C20" s="36">
        <v>2026</v>
      </c>
      <c r="E20" s="64" t="str" cm="1">
        <f t="array" ref="E20">IF(B$18="All Years",INDEX(Years,ROW()-5),"")</f>
        <v>2040 and subsequent years</v>
      </c>
      <c r="F20" s="65">
        <f>_xlfn.IFNA(IF(E20="","",IF($B$16="Statewide grid average",VLOOKUP(Calculator!E20,'(C) StatewideGridAvg'!$A$4:$B$18,2,FALSE),IF(Calculator!$B$16="Gen mix",'(D) GenMix_CI'!$B$27,IF(Calculator!$B$16="Manual (single CI)",IF($C$16="","Populate cell C16",Calculator!$C$16),IF(Calculator!B$16="Manual (Different annual CIs)",IF(I20="","populate Column I",Calculator!I20),"Update cell B8"))))),"Populate cell C16")</f>
        <v>14.44</v>
      </c>
      <c r="G20" s="66">
        <f>IF(E20="","",_xlfn.IFNA(IF(B$19="Manual (Single price)",IF(C$19="","Populate cell C19",C$19*IF($B$20="Nominal",1,INDEX('(G) Inflation'!$B$12:$M$16,MATCH($B$21,'(G) Inflation'!$A$12:$A$16,0),MATCH($C$20,'(F) Credit Price_nom'!$B$5:$P$5,0))/INDEX('(G) Inflation'!$B$12:$M$16,MATCH($B$21,'(G) Inflation'!$A$12:$A$16,0),MATCH($E$6,'(F) Credit Price_nom'!$B$5:$P$5,0)))),IF(B$19="Manual (Different annual prices)",IF(J20="","Populate Column J",J20),INDEX('(F) Credit Price_nom'!$B$6:$P$7,MATCH($B$19,'(F) Credit Price_nom'!$A$6:$A$7,0),MATCH(E20,'(F) Credit Price_nom'!$B$5:$P$5,0))*IF($B$20="Nominal",1,INDEX('(G) Inflation'!$B$12:$M$16,MATCH($B$21,'(G) Inflation'!$A$12:$A$16,0),MATCH($C$20,'(F) Credit Price_nom'!$B$5:$P$5,0))/INDEX('(G) Inflation'!$B$12:$M$16,MATCH($B$21,'(G) Inflation'!$A$12:$A$16,0),MATCH($E$6,'(F) Credit Price_nom'!$B$5:$P$5,0))))),IF(AND($B$18="single year",$C$18=""),"Populate cell C18",IF(AND($B$20="Real (input dollar year in Column C)",$C$20=""),"Populate cell C20","Check cells C18:C21"))))</f>
        <v>86.64</v>
      </c>
      <c r="H20" s="67">
        <f>IF(AND($B$14="Manual",$C$14=""),"Populate Cell C14",IF(AND($B$15="Manual",$C$15=""),"Populate Cell C15",IFERROR(IF(E20="","",(IF($B$12="Light-medium-duty (14k pounds or less)",3.4,5)*VLOOKUP(E20,'(B) CI Standard'!$A$5:$C$19,IF($B$12="Light-medium-duty (14k pounds or less)",2,3),FALSE)-F20)*IF($B$14="Manual",$C$14,$B$14)*IF($B$15="Manual",$C$15,$B$15)*IFERROR((DATE(E20+1,1,1)-DATE(E20,1,1)),366)*3.6/1000000*G20*$B$13),G20)))</f>
        <v>35034.248403947524</v>
      </c>
      <c r="J20" s="61"/>
    </row>
    <row r="21" spans="1:10" s="51" customFormat="1" ht="16.149999999999999" customHeight="1" thickBot="1" x14ac:dyDescent="0.3">
      <c r="A21" s="48" t="s">
        <v>49</v>
      </c>
      <c r="B21" s="49" t="s">
        <v>50</v>
      </c>
      <c r="C21" s="68"/>
      <c r="E21" s="62"/>
      <c r="F21" s="62"/>
      <c r="G21" s="69" t="s">
        <v>51</v>
      </c>
      <c r="H21" s="70">
        <f>SUM(H6:H20)</f>
        <v>527905.83026971004</v>
      </c>
    </row>
    <row r="22" spans="1:10" s="51" customFormat="1" ht="4.1500000000000004" customHeight="1" x14ac:dyDescent="0.25">
      <c r="B22" s="62"/>
      <c r="E22" s="62"/>
      <c r="F22" s="62"/>
      <c r="G22" s="62"/>
      <c r="H22" s="62"/>
    </row>
    <row r="23" spans="1:10" s="51" customFormat="1" ht="17.25" x14ac:dyDescent="0.25">
      <c r="A23" s="71" t="s">
        <v>52</v>
      </c>
      <c r="B23" s="62"/>
      <c r="E23" s="62"/>
      <c r="F23" s="62"/>
      <c r="G23" s="62"/>
      <c r="H23" s="62"/>
    </row>
    <row r="24" spans="1:10" s="51" customFormat="1" ht="17.25" x14ac:dyDescent="0.25">
      <c r="A24" s="71" t="s">
        <v>53</v>
      </c>
      <c r="B24" s="62"/>
      <c r="E24" s="62"/>
      <c r="F24" s="62"/>
      <c r="G24" s="62"/>
      <c r="H24" s="62"/>
    </row>
    <row r="25" spans="1:10" s="72" customFormat="1" ht="18" x14ac:dyDescent="0.25">
      <c r="B25" s="73"/>
      <c r="E25" s="73"/>
      <c r="F25" s="73"/>
      <c r="G25" s="73"/>
      <c r="H25" s="73"/>
    </row>
    <row r="26" spans="1:10" s="72" customFormat="1" ht="18" x14ac:dyDescent="0.25">
      <c r="A26" s="37" t="str">
        <f>IF(B$16="Gen mix",'(D) GenMix_CI'!A6,"")</f>
        <v/>
      </c>
      <c r="B26" s="38">
        <v>0</v>
      </c>
      <c r="C26" s="74" t="str">
        <f>IF(B16="Gen mix",SUM(B26:B41),"")</f>
        <v/>
      </c>
      <c r="E26" s="73"/>
      <c r="F26" s="73"/>
      <c r="G26" s="73"/>
      <c r="H26" s="73"/>
    </row>
    <row r="27" spans="1:10" s="72" customFormat="1" ht="18" x14ac:dyDescent="0.25">
      <c r="A27" s="37" t="str">
        <f>IF(B$16="Gen mix",'(D) GenMix_CI'!A7,"")</f>
        <v/>
      </c>
      <c r="B27" s="38">
        <v>0.01</v>
      </c>
      <c r="E27" s="73"/>
      <c r="F27" s="73"/>
      <c r="G27" s="73"/>
      <c r="H27" s="73"/>
    </row>
    <row r="28" spans="1:10" s="72" customFormat="1" ht="18" x14ac:dyDescent="0.25">
      <c r="A28" s="37" t="str">
        <f>IF(B$16="Gen mix",'(D) GenMix_CI'!A8,"")</f>
        <v/>
      </c>
      <c r="B28" s="38">
        <v>7.2744748352700506E-2</v>
      </c>
      <c r="E28" s="73"/>
      <c r="F28" s="73"/>
      <c r="G28" s="73"/>
      <c r="H28" s="73"/>
    </row>
    <row r="29" spans="1:10" s="72" customFormat="1" ht="18" x14ac:dyDescent="0.25">
      <c r="A29" s="37" t="str">
        <f>IF(B$16="Gen mix",'(D) GenMix_CI'!A9,"")</f>
        <v/>
      </c>
      <c r="B29" s="38">
        <v>0</v>
      </c>
      <c r="E29" s="73"/>
      <c r="F29" s="73"/>
      <c r="G29" s="73"/>
      <c r="H29" s="73"/>
    </row>
    <row r="30" spans="1:10" s="72" customFormat="1" ht="18" x14ac:dyDescent="0.25">
      <c r="A30" s="37" t="str">
        <f>IF(B$16="Gen mix",'(D) GenMix_CI'!A10,"")</f>
        <v/>
      </c>
      <c r="B30" s="38">
        <v>1.82145337813738E-2</v>
      </c>
      <c r="E30" s="73"/>
      <c r="F30" s="73"/>
      <c r="G30" s="73"/>
      <c r="H30" s="73"/>
    </row>
    <row r="31" spans="1:10" s="72" customFormat="1" ht="18" x14ac:dyDescent="0.25">
      <c r="A31" s="37" t="str">
        <f>IF(B$16="Gen mix",'(D) GenMix_CI'!A11,"")</f>
        <v/>
      </c>
      <c r="B31" s="38">
        <v>0.40777262572978701</v>
      </c>
      <c r="E31" s="73"/>
      <c r="F31" s="73"/>
      <c r="G31" s="73"/>
      <c r="H31" s="73"/>
    </row>
    <row r="32" spans="1:10" s="72" customFormat="1" ht="18" x14ac:dyDescent="0.25">
      <c r="A32" s="37" t="str">
        <f>IF(B$16="Gen mix",'(D) GenMix_CI'!A12,"")</f>
        <v/>
      </c>
      <c r="B32" s="38">
        <v>0.102686365428298</v>
      </c>
      <c r="E32" s="73"/>
      <c r="F32" s="73"/>
      <c r="G32" s="73"/>
      <c r="H32" s="73"/>
    </row>
    <row r="33" spans="1:8" s="72" customFormat="1" ht="18" x14ac:dyDescent="0.25">
      <c r="A33" s="37" t="str">
        <f>IF(B$16="Gen mix",'(D) GenMix_CI'!A13,"")</f>
        <v/>
      </c>
      <c r="B33" s="38">
        <v>4.0678443372317904E-3</v>
      </c>
      <c r="E33" s="73"/>
      <c r="F33" s="73"/>
      <c r="G33" s="73"/>
      <c r="H33" s="73"/>
    </row>
    <row r="34" spans="1:8" s="72" customFormat="1" ht="18" x14ac:dyDescent="0.25">
      <c r="A34" s="37" t="str">
        <f>IF(B$16="Gen mix",'(D) GenMix_CI'!A14,"")</f>
        <v/>
      </c>
      <c r="B34" s="38">
        <v>2.59321556627682E-2</v>
      </c>
      <c r="E34" s="73"/>
      <c r="F34" s="73"/>
      <c r="G34" s="73"/>
      <c r="H34" s="73"/>
    </row>
    <row r="35" spans="1:8" s="72" customFormat="1" ht="18" x14ac:dyDescent="0.25">
      <c r="A35" s="37" t="str">
        <f>IF(B$16="Gen mix",'(D) GenMix_CI'!A15,"")</f>
        <v/>
      </c>
      <c r="B35" s="38">
        <v>0.01</v>
      </c>
      <c r="E35" s="73"/>
      <c r="F35" s="73"/>
      <c r="G35" s="73"/>
      <c r="H35" s="73"/>
    </row>
    <row r="36" spans="1:8" s="72" customFormat="1" ht="18" x14ac:dyDescent="0.25">
      <c r="A36" s="37" t="str">
        <f>IF(B$16="Gen mix",'(D) GenMix_CI'!A16,"")</f>
        <v/>
      </c>
      <c r="B36" s="38">
        <v>8.9602770842328594E-2</v>
      </c>
      <c r="E36" s="73"/>
      <c r="F36" s="73"/>
      <c r="G36" s="73"/>
      <c r="H36" s="73"/>
    </row>
    <row r="37" spans="1:8" s="72" customFormat="1" ht="18" x14ac:dyDescent="0.25">
      <c r="A37" s="37" t="str">
        <f>IF(B$16="Gen mix",'(D) GenMix_CI'!A17,"")</f>
        <v/>
      </c>
      <c r="B37" s="38">
        <v>0</v>
      </c>
      <c r="E37" s="73"/>
      <c r="F37" s="73"/>
      <c r="G37" s="73"/>
      <c r="H37" s="73"/>
    </row>
    <row r="38" spans="1:8" s="72" customFormat="1" ht="18" x14ac:dyDescent="0.25">
      <c r="A38" s="37" t="str">
        <f>IF(B$16="Gen mix",'(D) GenMix_CI'!A18,"")</f>
        <v/>
      </c>
      <c r="B38" s="38">
        <v>0</v>
      </c>
      <c r="E38" s="73"/>
      <c r="F38" s="73"/>
      <c r="G38" s="73"/>
      <c r="H38" s="73"/>
    </row>
    <row r="39" spans="1:8" s="72" customFormat="1" ht="18" x14ac:dyDescent="0.25">
      <c r="A39" s="37" t="str">
        <f>IF(B$16="Gen mix",'(D) GenMix_CI'!A19,"")</f>
        <v/>
      </c>
      <c r="B39" s="38">
        <v>0.14520978430231499</v>
      </c>
      <c r="E39" s="73"/>
      <c r="F39" s="73"/>
      <c r="G39" s="73"/>
      <c r="H39" s="73"/>
    </row>
    <row r="40" spans="1:8" s="72" customFormat="1" ht="18" x14ac:dyDescent="0.25">
      <c r="A40" s="37" t="str">
        <f>IF(B$16="Gen mix",'(D) GenMix_CI'!A20,"")</f>
        <v/>
      </c>
      <c r="B40" s="38">
        <v>0.113769171563198</v>
      </c>
      <c r="E40" s="73"/>
      <c r="F40" s="73"/>
      <c r="G40" s="73"/>
      <c r="H40" s="73"/>
    </row>
    <row r="41" spans="1:8" s="72" customFormat="1" ht="18" x14ac:dyDescent="0.25">
      <c r="A41" s="37" t="str">
        <f>IF(B$16="Gen mix",'(D) GenMix_CI'!A21,"")</f>
        <v/>
      </c>
      <c r="B41" s="38">
        <v>0</v>
      </c>
      <c r="E41" s="73"/>
      <c r="F41" s="73"/>
      <c r="G41" s="73"/>
      <c r="H41" s="73"/>
    </row>
  </sheetData>
  <protectedRanges>
    <protectedRange sqref="I6:I20" name="Manual CIs"/>
    <protectedRange sqref="B11:C16" name="Operating"/>
    <protectedRange sqref="B18:C21" name="Financial"/>
    <protectedRange sqref="B26:B41" name="Gen Mix CI"/>
  </protectedRanges>
  <mergeCells count="10">
    <mergeCell ref="E4:H4"/>
    <mergeCell ref="A1:H1"/>
    <mergeCell ref="A2:H2"/>
    <mergeCell ref="A17:B17"/>
    <mergeCell ref="A4:B4"/>
    <mergeCell ref="A5:B5"/>
    <mergeCell ref="A6:B6"/>
    <mergeCell ref="A7:B7"/>
    <mergeCell ref="A9:B9"/>
    <mergeCell ref="A10:B10"/>
  </mergeCells>
  <conditionalFormatting sqref="A26:A41">
    <cfRule type="expression" dxfId="30" priority="25">
      <formula>$A$26=""</formula>
    </cfRule>
  </conditionalFormatting>
  <conditionalFormatting sqref="A21:C21">
    <cfRule type="expression" dxfId="29" priority="27">
      <formula>$B$20="Nominal"</formula>
    </cfRule>
  </conditionalFormatting>
  <conditionalFormatting sqref="B26:B41">
    <cfRule type="expression" dxfId="28" priority="24">
      <formula>$A$26=""</formula>
    </cfRule>
  </conditionalFormatting>
  <conditionalFormatting sqref="C14">
    <cfRule type="expression" dxfId="27" priority="5">
      <formula>$B$14="Manual"</formula>
    </cfRule>
  </conditionalFormatting>
  <conditionalFormatting sqref="C15">
    <cfRule type="expression" dxfId="26" priority="32">
      <formula>$B$15="Manual"</formula>
    </cfRule>
  </conditionalFormatting>
  <conditionalFormatting sqref="C16">
    <cfRule type="expression" dxfId="25" priority="31">
      <formula>$B$16="Manual (single CI)"</formula>
    </cfRule>
  </conditionalFormatting>
  <conditionalFormatting sqref="C18">
    <cfRule type="expression" dxfId="24" priority="30">
      <formula>$B$18="Single year"</formula>
    </cfRule>
  </conditionalFormatting>
  <conditionalFormatting sqref="C19">
    <cfRule type="expression" dxfId="23" priority="29">
      <formula>$B$19="Manual (Single price)"</formula>
    </cfRule>
  </conditionalFormatting>
  <conditionalFormatting sqref="C20">
    <cfRule type="expression" dxfId="22" priority="28">
      <formula>$B$20="Real (Input dollar year in Column C)"</formula>
    </cfRule>
  </conditionalFormatting>
  <conditionalFormatting sqref="C26">
    <cfRule type="expression" dxfId="21" priority="44">
      <formula>$B$16="Gen Mix"</formula>
    </cfRule>
  </conditionalFormatting>
  <conditionalFormatting sqref="E6">
    <cfRule type="expression" dxfId="20" priority="26">
      <formula>$E$6="Populate cell C18"</formula>
    </cfRule>
  </conditionalFormatting>
  <conditionalFormatting sqref="F6:F20">
    <cfRule type="expression" dxfId="19" priority="36">
      <formula>$F$6="Populate cell C18"</formula>
    </cfRule>
    <cfRule type="expression" dxfId="18" priority="37">
      <formula>$F6="Populate cell C16"</formula>
    </cfRule>
    <cfRule type="expression" dxfId="17" priority="38">
      <formula>$F$6="Populate Column I"</formula>
    </cfRule>
  </conditionalFormatting>
  <conditionalFormatting sqref="G6:G20">
    <cfRule type="expression" dxfId="16" priority="12">
      <formula>$G$6="Populate cell C20"</formula>
    </cfRule>
    <cfRule type="expression" dxfId="15" priority="13">
      <formula>$G$6="Populate Cell C18"</formula>
    </cfRule>
    <cfRule type="expression" dxfId="14" priority="16">
      <formula>$G$6="Populate Column J"</formula>
    </cfRule>
    <cfRule type="expression" dxfId="13" priority="17">
      <formula>$G$6="Populate cell C19"</formula>
    </cfRule>
  </conditionalFormatting>
  <conditionalFormatting sqref="H6:H20">
    <cfRule type="expression" dxfId="12" priority="9">
      <formula>$H$6="Populate Cell C20"</formula>
    </cfRule>
    <cfRule type="expression" dxfId="11" priority="10">
      <formula>$H$6="Populate Cell C18"</formula>
    </cfRule>
    <cfRule type="expression" dxfId="10" priority="11">
      <formula>$H$6="Populate Cell C17"</formula>
    </cfRule>
  </conditionalFormatting>
  <conditionalFormatting sqref="H6:H21">
    <cfRule type="expression" dxfId="9" priority="1">
      <formula>$H$6="Populate Column J"</formula>
    </cfRule>
    <cfRule type="expression" dxfId="8" priority="2">
      <formula>$H$6="Populate Column I"</formula>
    </cfRule>
    <cfRule type="expression" dxfId="7" priority="3">
      <formula>$H$6="Populate Cell C15"</formula>
    </cfRule>
    <cfRule type="expression" dxfId="6" priority="4">
      <formula>$H$6="Populate Cell C14"</formula>
    </cfRule>
  </conditionalFormatting>
  <conditionalFormatting sqref="I5">
    <cfRule type="expression" dxfId="5" priority="7">
      <formula>B$16="Manual (different annual CIs)"</formula>
    </cfRule>
  </conditionalFormatting>
  <conditionalFormatting sqref="I6:I20">
    <cfRule type="expression" dxfId="4" priority="45">
      <formula>B$16="Manual (different annual CIs)"</formula>
    </cfRule>
  </conditionalFormatting>
  <conditionalFormatting sqref="I2:J3">
    <cfRule type="expression" dxfId="3" priority="46">
      <formula>B16="Manual (different annual CIs)"</formula>
    </cfRule>
  </conditionalFormatting>
  <conditionalFormatting sqref="J2:J3">
    <cfRule type="expression" dxfId="2" priority="47">
      <formula>B19="Manual (different annual prices)"</formula>
    </cfRule>
  </conditionalFormatting>
  <conditionalFormatting sqref="J5">
    <cfRule type="expression" dxfId="1" priority="6">
      <formula>B$19="Manual (different annual prices)"</formula>
    </cfRule>
  </conditionalFormatting>
  <conditionalFormatting sqref="J6:J20">
    <cfRule type="expression" dxfId="0" priority="48">
      <formula>B$19="Manual (different annual prices)"</formula>
    </cfRule>
  </conditionalFormatting>
  <dataValidations count="19">
    <dataValidation type="list" allowBlank="1" showInputMessage="1" showErrorMessage="1" sqref="B11" xr:uid="{BE48DD7D-1C5C-4AC8-A920-4F01FF447F80}">
      <formula1>"Level-2 Charger,Direct Current Fast Charger"</formula1>
    </dataValidation>
    <dataValidation type="whole" operator="greaterThanOrEqual" allowBlank="1" showInputMessage="1" showErrorMessage="1" errorTitle="ERROR" error="Number of chargers must be a whole number greater than zero." sqref="B13" xr:uid="{3D306FD7-5DE5-4667-945D-5E8A2B61701D}">
      <formula1>1</formula1>
    </dataValidation>
    <dataValidation type="list" allowBlank="1" showInputMessage="1" showErrorMessage="1" sqref="B12" xr:uid="{A288247F-8FDD-4C27-AFF4-FD266D622EE9}">
      <formula1>"Light-medium-duty (14k pounds or less),Medium-heavy-duty (above 14k pounds)"</formula1>
    </dataValidation>
    <dataValidation type="list" allowBlank="1" showInputMessage="1" showErrorMessage="1" sqref="B14" xr:uid="{07D30B40-62EF-4D12-AFE2-FEDC602889D4}">
      <formula1>IF($B$11="Level-2 Charger",Capacity__Level2,IF($B$11="Direct Current Fast Charger",Capacity__DCFC,"Select Charger Type"))</formula1>
    </dataValidation>
    <dataValidation type="list" allowBlank="1" showInputMessage="1" showErrorMessage="1" sqref="B15" xr:uid="{3BC1E60B-1F24-43C1-B869-1E5346078B36}">
      <formula1>IF($B$11="Level-2 Charger",DailyUse__Level2,IF($B$11="Direct Current Fast Charger",DailyUse__DCFC,"Select Charger Type"))</formula1>
    </dataValidation>
    <dataValidation type="list" allowBlank="1" showInputMessage="1" showErrorMessage="1" sqref="B19" xr:uid="{8C2067E2-7C67-4937-8ACE-0EDEB0D8F0C2}">
      <formula1>IF($B$18="Single year",PricesSingle,PricesMulti)</formula1>
    </dataValidation>
    <dataValidation type="custom" showErrorMessage="1" errorTitle="Error" error="To populate this cell, &quot;Single year&quot; must be selected for this row in Column B, and a year after 2025 must be entered in this cell. _x000a__x000a_For years after 2039, you must enter &quot;2040 and subsequent years.&quot;" sqref="C18" xr:uid="{53B45E5E-BBA8-4637-92C7-0CEC497B65CE}">
      <formula1>IF(AND(B18="Single year",COUNTIF(Years,C18)&gt;0),Years)</formula1>
    </dataValidation>
    <dataValidation type="list" sqref="B18" xr:uid="{BE6EC42B-B859-439C-AD71-01D138C71AB2}">
      <formula1>"All years,Single year"</formula1>
    </dataValidation>
    <dataValidation type="list" allowBlank="1" showInputMessage="1" showErrorMessage="1" sqref="B20" xr:uid="{4510EB15-8A8F-4CF5-B4A3-2CBCD5A945AA}">
      <formula1>"Nominal,Real (input dollar year in Column C)"</formula1>
    </dataValidation>
    <dataValidation type="custom" allowBlank="1" showInputMessage="1" showErrorMessage="1" errorTitle="Error" error="No manual entry option for this cell." sqref="C11:C12" xr:uid="{793335F0-27B0-46DC-A34C-F6D7791A98A5}">
      <formula1>B11="Manual"</formula1>
    </dataValidation>
    <dataValidation type="custom" allowBlank="1" showInputMessage="1" showErrorMessage="1" errorTitle="Error" error="Entry in Column B for this row is already manual" sqref="C13" xr:uid="{F87868AF-0338-4CF1-9E23-2EBF2C6AE946}">
      <formula1>B12="Manual"</formula1>
    </dataValidation>
    <dataValidation type="custom" allowBlank="1" showInputMessage="1" showErrorMessage="1" errorTitle="Error" error="&quot;Manual&quot; must be selected in this row for Column B to populate_x000a_ " sqref="C14:C15" xr:uid="{300B598B-E8C3-495E-B22D-65F0FA5560D2}">
      <formula1>B14="Manual"</formula1>
    </dataValidation>
    <dataValidation type="custom" allowBlank="1" showInputMessage="1" showErrorMessage="1" errorTitle="Error" error="Populate this cell if you have selected &quot;Manual (single price)&quot; in Column B for this row." sqref="C19" xr:uid="{C2C5B6F6-1135-48AB-BE4B-A6F0FDE2B560}">
      <formula1>B19="Manual (single price)"</formula1>
    </dataValidation>
    <dataValidation type="custom" showErrorMessage="1" errorTitle="Error" error="To populate this cell, &quot;Single year&quot; must be selected for this row in Column B, and a year after 2025 must be entered in this cell. _x000a__x000a_For years after 2039, you must enter &quot;2040 and subsequent years.&quot;" sqref="C20" xr:uid="{3A016494-55B7-4D4D-B632-0E616812EAAD}">
      <formula1>IF(AND(B20="Real (input dollar year in Column C)",COUNTIF(Years,C20)&gt;0),Years)</formula1>
    </dataValidation>
    <dataValidation type="list" allowBlank="1" showInputMessage="1" showErrorMessage="1" sqref="B21" xr:uid="{33E82536-B886-4C0F-83D1-7C9D2B197F38}">
      <formula1>IF($B$20="Nominal",NoInflation,Inflation)</formula1>
    </dataValidation>
    <dataValidation type="custom" allowBlank="1" showInputMessage="1" showErrorMessage="1" errorTitle="Error" error="No manual entry option for this cell." sqref="C21" xr:uid="{4F5BC194-92DA-4B64-8827-D95144124E35}">
      <formula1>B11="Manual"</formula1>
    </dataValidation>
    <dataValidation type="decimal" showInputMessage="1" error="Enter a share between 0 and 1." promptTitle="Note" prompt="Only populate this cell if highlighted because &quot;Gen Mix&quot; is selected in Cell B8._x000a_When populating, make sure that the sum of all values in cell C19 equals 100%" sqref="B26:B41" xr:uid="{936DA9B8-E547-4FD0-BA33-27D8380C5A73}">
      <formula1>0</formula1>
      <formula2>1</formula2>
    </dataValidation>
    <dataValidation type="custom" allowBlank="1" showInputMessage="1" showErrorMessage="1" errorTitle="Error" error="&quot;Manual (single CI)&quot; must be selected in this row for Column B to populate_x000a_ " sqref="C16" xr:uid="{76BBF1BD-F74F-4EF5-83E1-17142F5C6EC8}">
      <formula1>B16="Manual (single CI)"</formula1>
    </dataValidation>
    <dataValidation type="list" allowBlank="1" showInputMessage="1" showErrorMessage="1" sqref="B16" xr:uid="{1538E9E3-0721-4740-AB63-AD928C05EEE3}">
      <formula1>IF($B$18="Single year",GridCISingle,GridCIMulti)</formula1>
    </dataValidation>
  </dataValidations>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9A5DD-8603-460B-B5A8-B97FE81ADB22}">
  <sheetPr>
    <tabColor rgb="FFF4F1E2"/>
  </sheetPr>
  <dimension ref="A1:P18"/>
  <sheetViews>
    <sheetView zoomScale="120" zoomScaleNormal="120" workbookViewId="0">
      <selection activeCell="C5" sqref="C5"/>
    </sheetView>
  </sheetViews>
  <sheetFormatPr defaultRowHeight="15" x14ac:dyDescent="0.25"/>
  <cols>
    <col min="1" max="1" width="15" customWidth="1"/>
    <col min="2" max="2" width="13.42578125" bestFit="1" customWidth="1"/>
    <col min="3" max="3" width="15.42578125" bestFit="1" customWidth="1"/>
    <col min="4" max="4" width="15.85546875" customWidth="1"/>
  </cols>
  <sheetData>
    <row r="1" spans="1:16" ht="22.5" x14ac:dyDescent="0.25">
      <c r="A1" s="110" t="s">
        <v>54</v>
      </c>
      <c r="B1" s="111"/>
      <c r="C1" s="111"/>
      <c r="D1" s="111"/>
      <c r="E1" s="111"/>
      <c r="F1" s="111"/>
      <c r="G1" s="111"/>
      <c r="H1" s="111"/>
      <c r="I1" s="111"/>
      <c r="J1" s="111"/>
      <c r="K1" s="111"/>
      <c r="L1" s="111"/>
      <c r="M1" s="111"/>
      <c r="N1" s="111"/>
      <c r="O1" s="111"/>
      <c r="P1" s="112"/>
    </row>
    <row r="2" spans="1:16" ht="20.25" thickBot="1" x14ac:dyDescent="0.45">
      <c r="A2" s="113" t="s">
        <v>55</v>
      </c>
      <c r="B2" s="114"/>
      <c r="C2" s="114"/>
      <c r="D2" s="114"/>
      <c r="E2" s="114"/>
      <c r="F2" s="114"/>
      <c r="G2" s="114"/>
      <c r="H2" s="114"/>
      <c r="I2" s="114"/>
      <c r="J2" s="114"/>
      <c r="K2" s="114"/>
      <c r="L2" s="114"/>
      <c r="M2" s="114"/>
      <c r="N2" s="114"/>
      <c r="O2" s="114"/>
      <c r="P2" s="115"/>
    </row>
    <row r="3" spans="1:16" ht="6.6" customHeight="1" x14ac:dyDescent="0.25"/>
    <row r="4" spans="1:16" ht="45" x14ac:dyDescent="0.25">
      <c r="A4" s="32" t="s">
        <v>56</v>
      </c>
      <c r="B4" s="32" t="s">
        <v>57</v>
      </c>
      <c r="C4" s="32" t="s">
        <v>58</v>
      </c>
      <c r="D4" s="32" t="s">
        <v>59</v>
      </c>
    </row>
    <row r="5" spans="1:16" x14ac:dyDescent="0.25">
      <c r="A5" s="4">
        <v>7.2</v>
      </c>
      <c r="B5" s="4">
        <v>75</v>
      </c>
      <c r="C5" s="4">
        <v>1.2</v>
      </c>
      <c r="D5" s="4">
        <v>0.3</v>
      </c>
    </row>
    <row r="6" spans="1:16" x14ac:dyDescent="0.25">
      <c r="A6" s="4">
        <v>13.2</v>
      </c>
      <c r="B6" s="4">
        <v>150</v>
      </c>
      <c r="C6" s="4">
        <v>2.4</v>
      </c>
      <c r="D6" s="4">
        <v>0.6</v>
      </c>
    </row>
    <row r="7" spans="1:16" x14ac:dyDescent="0.25">
      <c r="A7" s="4">
        <v>19.2</v>
      </c>
      <c r="B7" s="4">
        <v>300</v>
      </c>
      <c r="C7" s="4">
        <v>4.8</v>
      </c>
      <c r="D7" s="4">
        <v>1.2</v>
      </c>
    </row>
    <row r="8" spans="1:16" x14ac:dyDescent="0.25">
      <c r="A8" s="4" t="s">
        <v>60</v>
      </c>
      <c r="B8" s="4" t="s">
        <v>60</v>
      </c>
      <c r="C8" s="4" t="s">
        <v>60</v>
      </c>
      <c r="D8" s="4" t="s">
        <v>60</v>
      </c>
    </row>
    <row r="10" spans="1:16" x14ac:dyDescent="0.25">
      <c r="A10" t="s">
        <v>61</v>
      </c>
    </row>
    <row r="11" spans="1:16" x14ac:dyDescent="0.25">
      <c r="A11" t="s">
        <v>62</v>
      </c>
    </row>
    <row r="13" spans="1:16" x14ac:dyDescent="0.25">
      <c r="A13" t="s">
        <v>63</v>
      </c>
    </row>
    <row r="14" spans="1:16" x14ac:dyDescent="0.25">
      <c r="A14" t="s">
        <v>64</v>
      </c>
    </row>
    <row r="15" spans="1:16" x14ac:dyDescent="0.25">
      <c r="A15" s="3" t="s">
        <v>65</v>
      </c>
    </row>
    <row r="17" spans="1:1" x14ac:dyDescent="0.25">
      <c r="A17" t="s">
        <v>66</v>
      </c>
    </row>
    <row r="18" spans="1:1" x14ac:dyDescent="0.25">
      <c r="A18" s="3" t="s">
        <v>67</v>
      </c>
    </row>
  </sheetData>
  <sheetProtection algorithmName="SHA-512" hashValue="jGAkQkc8WpTYGKGNxQvlk5wfbEZWPPhI+qEwO8esSreLpc98GZKip54lU1ynW4aXWNSO+M81TqnMcdQwmst5tg==" saltValue="nArck/Vm2Yeq9I5GQ4ZKwA==" spinCount="100000" sheet="1" objects="1" scenarios="1"/>
  <mergeCells count="2">
    <mergeCell ref="A1:P1"/>
    <mergeCell ref="A2:P2"/>
  </mergeCells>
  <hyperlinks>
    <hyperlink ref="A15" r:id="rId1" location="page=4" xr:uid="{FD499FE4-D96D-4B96-BFAA-2A58B144794C}"/>
    <hyperlink ref="A18" r:id="rId2" location="page=8" xr:uid="{32E2EED7-3F21-4E93-B0D0-E2A3646506F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3FAC7-7EE4-4A3B-AD71-2AED1A271B9B}">
  <sheetPr>
    <tabColor rgb="FFF4F1E2"/>
  </sheetPr>
  <dimension ref="A1:P19"/>
  <sheetViews>
    <sheetView zoomScale="120" zoomScaleNormal="120" workbookViewId="0">
      <selection activeCell="C7" sqref="C7"/>
    </sheetView>
  </sheetViews>
  <sheetFormatPr defaultRowHeight="15" x14ac:dyDescent="0.25"/>
  <sheetData>
    <row r="1" spans="1:16" ht="22.5" x14ac:dyDescent="0.25">
      <c r="A1" s="110" t="s">
        <v>68</v>
      </c>
      <c r="B1" s="111"/>
      <c r="C1" s="111"/>
      <c r="D1" s="111"/>
      <c r="E1" s="111"/>
      <c r="F1" s="111"/>
      <c r="G1" s="111"/>
      <c r="H1" s="111"/>
      <c r="I1" s="111"/>
      <c r="J1" s="111"/>
      <c r="K1" s="111"/>
      <c r="L1" s="111"/>
      <c r="M1" s="111"/>
      <c r="N1" s="111"/>
      <c r="O1" s="111"/>
      <c r="P1" s="112"/>
    </row>
    <row r="2" spans="1:16" ht="20.25" thickBot="1" x14ac:dyDescent="0.45">
      <c r="A2" s="113" t="s">
        <v>69</v>
      </c>
      <c r="B2" s="114"/>
      <c r="C2" s="114"/>
      <c r="D2" s="114"/>
      <c r="E2" s="114"/>
      <c r="F2" s="114"/>
      <c r="G2" s="114"/>
      <c r="H2" s="114"/>
      <c r="I2" s="114"/>
      <c r="J2" s="114"/>
      <c r="K2" s="114"/>
      <c r="L2" s="114"/>
      <c r="M2" s="114"/>
      <c r="N2" s="114"/>
      <c r="O2" s="114"/>
      <c r="P2" s="115"/>
    </row>
    <row r="3" spans="1:16" ht="8.4499999999999993" customHeight="1" x14ac:dyDescent="0.25"/>
    <row r="4" spans="1:16" x14ac:dyDescent="0.25">
      <c r="A4" s="4"/>
      <c r="B4" s="4" t="s">
        <v>70</v>
      </c>
      <c r="C4" s="4" t="s">
        <v>71</v>
      </c>
    </row>
    <row r="5" spans="1:16" x14ac:dyDescent="0.25">
      <c r="A5" s="4">
        <v>2026</v>
      </c>
      <c r="B5" s="4">
        <v>93.89</v>
      </c>
      <c r="C5" s="4">
        <v>93.81</v>
      </c>
    </row>
    <row r="6" spans="1:16" x14ac:dyDescent="0.25">
      <c r="A6" s="4">
        <v>2027</v>
      </c>
      <c r="B6" s="4">
        <v>92.45</v>
      </c>
      <c r="C6" s="4">
        <v>92.38</v>
      </c>
    </row>
    <row r="7" spans="1:16" x14ac:dyDescent="0.25">
      <c r="A7" s="4">
        <v>2028</v>
      </c>
      <c r="B7" s="4">
        <v>89.87</v>
      </c>
      <c r="C7" s="4">
        <v>89.8</v>
      </c>
    </row>
    <row r="8" spans="1:16" x14ac:dyDescent="0.25">
      <c r="A8" s="4">
        <v>2029</v>
      </c>
      <c r="B8" s="4">
        <v>85.09</v>
      </c>
      <c r="C8" s="4">
        <v>85.02</v>
      </c>
    </row>
    <row r="9" spans="1:16" x14ac:dyDescent="0.25">
      <c r="A9" s="4">
        <v>2030</v>
      </c>
      <c r="B9" s="4">
        <v>76.489999999999995</v>
      </c>
      <c r="C9" s="4">
        <v>76.42</v>
      </c>
    </row>
    <row r="10" spans="1:16" x14ac:dyDescent="0.25">
      <c r="A10" s="4">
        <v>2031</v>
      </c>
      <c r="B10" s="4">
        <v>75.53</v>
      </c>
      <c r="C10" s="4">
        <v>75.47</v>
      </c>
    </row>
    <row r="11" spans="1:16" x14ac:dyDescent="0.25">
      <c r="A11" s="4">
        <v>2032</v>
      </c>
      <c r="B11" s="4">
        <v>74.58</v>
      </c>
      <c r="C11" s="4">
        <v>74.510000000000005</v>
      </c>
    </row>
    <row r="12" spans="1:16" x14ac:dyDescent="0.25">
      <c r="A12" s="4">
        <v>2033</v>
      </c>
      <c r="B12" s="4">
        <v>73.62</v>
      </c>
      <c r="C12" s="4">
        <v>73.56</v>
      </c>
    </row>
    <row r="13" spans="1:16" x14ac:dyDescent="0.25">
      <c r="A13" s="4">
        <v>2034</v>
      </c>
      <c r="B13" s="4">
        <v>72.66</v>
      </c>
      <c r="C13" s="4">
        <v>72.599999999999994</v>
      </c>
    </row>
    <row r="14" spans="1:16" x14ac:dyDescent="0.25">
      <c r="A14" s="4">
        <v>2035</v>
      </c>
      <c r="B14" s="4">
        <v>71.709999999999994</v>
      </c>
      <c r="C14" s="4">
        <v>71.650000000000006</v>
      </c>
    </row>
    <row r="15" spans="1:16" x14ac:dyDescent="0.25">
      <c r="A15" s="4">
        <v>2036</v>
      </c>
      <c r="B15" s="4">
        <v>70.75</v>
      </c>
      <c r="C15" s="4">
        <v>70.69</v>
      </c>
    </row>
    <row r="16" spans="1:16" x14ac:dyDescent="0.25">
      <c r="A16" s="4">
        <v>2037</v>
      </c>
      <c r="B16" s="4">
        <v>69.8</v>
      </c>
      <c r="C16" s="4">
        <v>69.739999999999995</v>
      </c>
    </row>
    <row r="17" spans="1:3" x14ac:dyDescent="0.25">
      <c r="A17" s="4">
        <v>2038</v>
      </c>
      <c r="B17" s="4">
        <v>68.84</v>
      </c>
      <c r="C17" s="4">
        <v>68.78</v>
      </c>
    </row>
    <row r="18" spans="1:3" x14ac:dyDescent="0.25">
      <c r="A18" s="4">
        <v>2039</v>
      </c>
      <c r="B18" s="4">
        <v>67.88</v>
      </c>
      <c r="C18" s="4">
        <v>67.83</v>
      </c>
    </row>
    <row r="19" spans="1:3" x14ac:dyDescent="0.25">
      <c r="A19" s="5" t="s">
        <v>72</v>
      </c>
      <c r="B19" s="4">
        <v>66.930000000000007</v>
      </c>
      <c r="C19" s="4">
        <v>66.87</v>
      </c>
    </row>
  </sheetData>
  <sheetProtection algorithmName="SHA-512" hashValue="oiGo/Rh6nzZYezYVN85rK1V8XE71J9hBlKr6YfoxlnYr+FdzJs4/RoAoBZ16p4vw4tN3o0y7+bsw+Ve38bTlDQ==" saltValue="ffWFc4mjqA9548+vrHahNA==" spinCount="100000" sheet="1" objects="1" scenarios="1"/>
  <mergeCells count="2">
    <mergeCell ref="A1:P1"/>
    <mergeCell ref="A2:P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EC096-8EEF-4AC0-8713-9FEB5C362A02}">
  <sheetPr>
    <tabColor rgb="FFF4F1E2"/>
  </sheetPr>
  <dimension ref="A1:P28"/>
  <sheetViews>
    <sheetView zoomScale="120" zoomScaleNormal="120" workbookViewId="0">
      <selection activeCell="A7" sqref="A7"/>
    </sheetView>
  </sheetViews>
  <sheetFormatPr defaultRowHeight="15" x14ac:dyDescent="0.25"/>
  <cols>
    <col min="1" max="1" width="23.7109375" customWidth="1"/>
  </cols>
  <sheetData>
    <row r="1" spans="1:16" ht="22.5" x14ac:dyDescent="0.25">
      <c r="A1" s="110" t="s">
        <v>73</v>
      </c>
      <c r="B1" s="111"/>
      <c r="C1" s="111"/>
      <c r="D1" s="111"/>
      <c r="E1" s="111"/>
      <c r="F1" s="111"/>
      <c r="G1" s="111"/>
      <c r="H1" s="111"/>
      <c r="I1" s="111"/>
      <c r="J1" s="111"/>
      <c r="K1" s="111"/>
      <c r="L1" s="111"/>
      <c r="M1" s="111"/>
      <c r="N1" s="111"/>
      <c r="O1" s="111"/>
      <c r="P1" s="112"/>
    </row>
    <row r="2" spans="1:16" ht="20.25" thickBot="1" x14ac:dyDescent="0.45">
      <c r="A2" s="113" t="s">
        <v>74</v>
      </c>
      <c r="B2" s="114"/>
      <c r="C2" s="114"/>
      <c r="D2" s="114"/>
      <c r="E2" s="114"/>
      <c r="F2" s="114"/>
      <c r="G2" s="114"/>
      <c r="H2" s="114"/>
      <c r="I2" s="114"/>
      <c r="J2" s="114"/>
      <c r="K2" s="114"/>
      <c r="L2" s="114"/>
      <c r="M2" s="114"/>
      <c r="N2" s="114"/>
      <c r="O2" s="114"/>
      <c r="P2" s="115"/>
    </row>
    <row r="3" spans="1:16" ht="8.4499999999999993" customHeight="1" x14ac:dyDescent="0.25"/>
    <row r="4" spans="1:16" x14ac:dyDescent="0.25">
      <c r="A4" s="4">
        <v>2026</v>
      </c>
      <c r="B4">
        <v>62.32</v>
      </c>
      <c r="D4" t="s">
        <v>75</v>
      </c>
    </row>
    <row r="5" spans="1:16" x14ac:dyDescent="0.25">
      <c r="A5" s="4">
        <v>2027</v>
      </c>
      <c r="B5">
        <v>61.25</v>
      </c>
      <c r="D5" t="s">
        <v>76</v>
      </c>
    </row>
    <row r="6" spans="1:16" x14ac:dyDescent="0.25">
      <c r="A6" s="4">
        <v>2028</v>
      </c>
      <c r="B6">
        <v>60.47</v>
      </c>
      <c r="D6" s="9" t="s">
        <v>77</v>
      </c>
    </row>
    <row r="7" spans="1:16" x14ac:dyDescent="0.25">
      <c r="A7" s="4">
        <v>2029</v>
      </c>
      <c r="B7">
        <v>58.89</v>
      </c>
    </row>
    <row r="8" spans="1:16" x14ac:dyDescent="0.25">
      <c r="A8" s="4">
        <v>2030</v>
      </c>
      <c r="B8">
        <v>48.88</v>
      </c>
      <c r="D8" t="s">
        <v>78</v>
      </c>
    </row>
    <row r="9" spans="1:16" x14ac:dyDescent="0.25">
      <c r="A9" s="4">
        <v>2031</v>
      </c>
      <c r="B9">
        <v>34.54</v>
      </c>
      <c r="D9" t="s">
        <v>79</v>
      </c>
    </row>
    <row r="10" spans="1:16" x14ac:dyDescent="0.25">
      <c r="A10" s="4">
        <v>2032</v>
      </c>
      <c r="B10">
        <v>24.38</v>
      </c>
      <c r="D10" s="3" t="s">
        <v>80</v>
      </c>
    </row>
    <row r="11" spans="1:16" x14ac:dyDescent="0.25">
      <c r="A11" s="4">
        <v>2033</v>
      </c>
      <c r="B11">
        <v>22.7</v>
      </c>
    </row>
    <row r="12" spans="1:16" x14ac:dyDescent="0.25">
      <c r="A12" s="4">
        <v>2034</v>
      </c>
      <c r="B12">
        <v>22.38</v>
      </c>
    </row>
    <row r="13" spans="1:16" x14ac:dyDescent="0.25">
      <c r="A13" s="4">
        <v>2035</v>
      </c>
      <c r="B13">
        <v>19.850000000000001</v>
      </c>
    </row>
    <row r="14" spans="1:16" x14ac:dyDescent="0.25">
      <c r="A14" s="4">
        <v>2036</v>
      </c>
      <c r="B14">
        <v>18.510000000000002</v>
      </c>
    </row>
    <row r="15" spans="1:16" x14ac:dyDescent="0.25">
      <c r="A15" s="4">
        <v>2037</v>
      </c>
      <c r="B15">
        <v>16.760000000000002</v>
      </c>
    </row>
    <row r="16" spans="1:16" x14ac:dyDescent="0.25">
      <c r="A16" s="4">
        <v>2038</v>
      </c>
      <c r="B16">
        <v>16.89</v>
      </c>
    </row>
    <row r="17" spans="1:5" x14ac:dyDescent="0.25">
      <c r="A17" s="4">
        <v>2039</v>
      </c>
      <c r="B17">
        <v>17.18</v>
      </c>
    </row>
    <row r="18" spans="1:5" x14ac:dyDescent="0.25">
      <c r="A18" s="5" t="s">
        <v>72</v>
      </c>
      <c r="B18">
        <v>14.44</v>
      </c>
    </row>
    <row r="28" spans="1:5" x14ac:dyDescent="0.25">
      <c r="E28" s="3"/>
    </row>
  </sheetData>
  <sheetProtection algorithmName="SHA-512" hashValue="eDCQz14he4gmEwERYrERMqyc0+s+Rie1fzJnGtI6d7vi3ByT41gLWEcTx+6rJug6S2BuyNcyf5bGTyGd77kv6A==" saltValue="H5++xAdY/OeQGq52rbFOYw==" spinCount="100000" sheet="1" objects="1" scenarios="1"/>
  <mergeCells count="2">
    <mergeCell ref="A1:P1"/>
    <mergeCell ref="A2:P2"/>
  </mergeCells>
  <hyperlinks>
    <hyperlink ref="D6" r:id="rId1" location="page=32" xr:uid="{19CE7B22-839C-4F33-B633-9323B474D6E1}"/>
    <hyperlink ref="D10" r:id="rId2" location="page=379" xr:uid="{FE0CE42C-2337-46ED-8732-895152FE4AC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BB0D1-835E-40C1-8973-C31D4BF88092}">
  <sheetPr>
    <tabColor rgb="FFF4F1E2"/>
  </sheetPr>
  <dimension ref="A1:Y98"/>
  <sheetViews>
    <sheetView showGridLines="0" zoomScale="120" zoomScaleNormal="120" workbookViewId="0">
      <selection activeCell="B9" sqref="B9"/>
    </sheetView>
  </sheetViews>
  <sheetFormatPr defaultColWidth="8.7109375" defaultRowHeight="15" customHeight="1" x14ac:dyDescent="0.25"/>
  <cols>
    <col min="1" max="1" width="32" style="11" customWidth="1"/>
    <col min="2" max="5" width="16" style="11" customWidth="1"/>
    <col min="6" max="6" width="20" style="11" customWidth="1"/>
    <col min="7" max="9" width="18" style="11" customWidth="1"/>
    <col min="10" max="10" width="16" style="11" customWidth="1"/>
    <col min="11" max="11" width="8.85546875" style="11" customWidth="1"/>
    <col min="12" max="12" width="10.7109375" style="11" customWidth="1"/>
    <col min="13" max="24" width="8.7109375" style="11"/>
    <col min="25" max="25" width="13" style="11" hidden="1" customWidth="1"/>
    <col min="26" max="16384" width="8.7109375" style="11"/>
  </cols>
  <sheetData>
    <row r="1" spans="1:25" customFormat="1" ht="22.5" x14ac:dyDescent="0.25">
      <c r="A1" s="118" t="s">
        <v>73</v>
      </c>
      <c r="B1" s="119"/>
      <c r="C1" s="119"/>
      <c r="D1" s="119"/>
      <c r="E1" s="119"/>
      <c r="F1" s="119"/>
      <c r="G1" s="119"/>
      <c r="H1" s="11"/>
      <c r="I1" s="22"/>
    </row>
    <row r="2" spans="1:25" customFormat="1" ht="19.5" x14ac:dyDescent="0.4">
      <c r="A2" s="116" t="s">
        <v>81</v>
      </c>
      <c r="B2" s="117"/>
      <c r="C2" s="117"/>
      <c r="D2" s="117"/>
      <c r="E2" s="117"/>
      <c r="F2" s="117"/>
      <c r="G2" s="117"/>
      <c r="H2" s="11"/>
      <c r="I2" s="22"/>
    </row>
    <row r="3" spans="1:25" customFormat="1" ht="8.4499999999999993" customHeight="1" thickBot="1" x14ac:dyDescent="0.3">
      <c r="H3" s="11"/>
      <c r="I3" s="22"/>
    </row>
    <row r="4" spans="1:25" ht="15" customHeight="1" thickBot="1" x14ac:dyDescent="0.3">
      <c r="A4" s="78" t="s">
        <v>82</v>
      </c>
      <c r="I4" s="22"/>
      <c r="Y4" s="11">
        <v>8</v>
      </c>
    </row>
    <row r="5" spans="1:25" ht="25.5" x14ac:dyDescent="0.25">
      <c r="A5" s="12" t="s">
        <v>83</v>
      </c>
      <c r="B5" s="12" t="s">
        <v>84</v>
      </c>
      <c r="C5" s="12" t="s">
        <v>85</v>
      </c>
      <c r="D5" s="12" t="s">
        <v>86</v>
      </c>
      <c r="E5" s="12" t="s">
        <v>87</v>
      </c>
      <c r="F5" s="12" t="s">
        <v>88</v>
      </c>
      <c r="I5" s="22"/>
      <c r="Y5" s="11">
        <v>9</v>
      </c>
    </row>
    <row r="6" spans="1:25" x14ac:dyDescent="0.25">
      <c r="A6" s="13" t="s">
        <v>89</v>
      </c>
      <c r="B6" s="33">
        <f>Calculator!B26</f>
        <v>0</v>
      </c>
      <c r="C6" s="15">
        <f>INDEX('(E) EF_Tables'!$B$18:$B$33,MATCH($A6,'(E) EF_Tables'!$A$18:$A$33,0))</f>
        <v>9928.3991059899909</v>
      </c>
      <c r="D6" s="15">
        <f>INDEX('(E) EF_Tables'!$C$18:$C$33,MATCH($A6,'(E) EF_Tables'!$A$18:$A$33,0))</f>
        <v>450.71116947946899</v>
      </c>
      <c r="E6" s="15">
        <f>IF(B6="","",B6*C6)</f>
        <v>0</v>
      </c>
      <c r="F6" s="15">
        <f>IF(B6="","",B6*D6)</f>
        <v>0</v>
      </c>
      <c r="Y6" s="11">
        <v>10</v>
      </c>
    </row>
    <row r="7" spans="1:25" x14ac:dyDescent="0.25">
      <c r="A7" s="13" t="s">
        <v>90</v>
      </c>
      <c r="B7" s="33">
        <f>Calculator!B27</f>
        <v>0.01</v>
      </c>
      <c r="C7" s="15">
        <f>INDEX('(E) EF_Tables'!$B$18:$B$33,MATCH($A7,'(E) EF_Tables'!$A$18:$A$33,0))</f>
        <v>9928.3991059899799</v>
      </c>
      <c r="D7" s="15">
        <f>INDEX('(E) EF_Tables'!$C$18:$C$33,MATCH($A7,'(E) EF_Tables'!$A$18:$A$33,0))</f>
        <v>17.932009482742899</v>
      </c>
      <c r="E7" s="15">
        <f t="shared" ref="E7:E21" si="0">IF(B7="","",B7*C7)</f>
        <v>99.283991059899805</v>
      </c>
      <c r="F7" s="15">
        <f t="shared" ref="F7:F21" si="1">IF(B7="","",B7*D7)</f>
        <v>0.179320094827429</v>
      </c>
      <c r="Y7" s="11">
        <v>11</v>
      </c>
    </row>
    <row r="8" spans="1:25" x14ac:dyDescent="0.25">
      <c r="A8" s="13" t="s">
        <v>91</v>
      </c>
      <c r="B8" s="33">
        <f>Calculator!B28</f>
        <v>7.2744748352700506E-2</v>
      </c>
      <c r="C8" s="15">
        <f>INDEX('(E) EF_Tables'!$B$18:$B$33,MATCH($A8,'(E) EF_Tables'!$A$18:$A$33,0))</f>
        <v>18654.296479506698</v>
      </c>
      <c r="D8" s="15">
        <f>INDEX('(E) EF_Tables'!$C$18:$C$33,MATCH($A8,'(E) EF_Tables'!$A$18:$A$33,0))</f>
        <v>1048.9809462481601</v>
      </c>
      <c r="E8" s="15">
        <f t="shared" si="0"/>
        <v>1357.0021030983817</v>
      </c>
      <c r="F8" s="15">
        <f t="shared" si="1"/>
        <v>76.307854961600057</v>
      </c>
      <c r="Y8" s="11">
        <v>12</v>
      </c>
    </row>
    <row r="9" spans="1:25" x14ac:dyDescent="0.25">
      <c r="A9" s="13" t="s">
        <v>92</v>
      </c>
      <c r="B9" s="33">
        <f>Calculator!B29</f>
        <v>0</v>
      </c>
      <c r="C9" s="15">
        <f>INDEX('(E) EF_Tables'!$B$18:$B$33,MATCH($A9,'(E) EF_Tables'!$A$18:$A$33,0))</f>
        <v>0</v>
      </c>
      <c r="D9" s="15">
        <f>INDEX('(E) EF_Tables'!$C$18:$C$33,MATCH($A9,'(E) EF_Tables'!$A$18:$A$33,0))</f>
        <v>0</v>
      </c>
      <c r="E9" s="15">
        <f t="shared" si="0"/>
        <v>0</v>
      </c>
      <c r="F9" s="15">
        <f t="shared" si="1"/>
        <v>0</v>
      </c>
      <c r="Y9" s="11">
        <v>13</v>
      </c>
    </row>
    <row r="10" spans="1:25" x14ac:dyDescent="0.25">
      <c r="A10" s="13" t="s">
        <v>93</v>
      </c>
      <c r="B10" s="33">
        <f>Calculator!B30</f>
        <v>1.82145337813738E-2</v>
      </c>
      <c r="C10" s="15">
        <f>INDEX('(E) EF_Tables'!$B$18:$B$33,MATCH($A10,'(E) EF_Tables'!$A$18:$A$33,0))</f>
        <v>0</v>
      </c>
      <c r="D10" s="15">
        <f>INDEX('(E) EF_Tables'!$C$18:$C$33,MATCH($A10,'(E) EF_Tables'!$A$18:$A$33,0))</f>
        <v>0</v>
      </c>
      <c r="E10" s="15">
        <f t="shared" si="0"/>
        <v>0</v>
      </c>
      <c r="F10" s="15">
        <f t="shared" si="1"/>
        <v>0</v>
      </c>
      <c r="I10" s="22"/>
      <c r="Y10" s="11">
        <v>14</v>
      </c>
    </row>
    <row r="11" spans="1:25" x14ac:dyDescent="0.25">
      <c r="A11" s="13" t="s">
        <v>94</v>
      </c>
      <c r="B11" s="33">
        <f>Calculator!B31</f>
        <v>0.40777262572978701</v>
      </c>
      <c r="C11" s="15">
        <f>INDEX('(E) EF_Tables'!$B$18:$B$33,MATCH($A11,'(E) EF_Tables'!$A$18:$A$33,0))</f>
        <v>25095.498121135701</v>
      </c>
      <c r="D11" s="15">
        <f>INDEX('(E) EF_Tables'!$C$18:$C$33,MATCH($A11,'(E) EF_Tables'!$A$18:$A$33,0))</f>
        <v>450.71116947946899</v>
      </c>
      <c r="E11" s="15">
        <f t="shared" si="0"/>
        <v>10233.257162852442</v>
      </c>
      <c r="F11" s="15">
        <f t="shared" si="1"/>
        <v>183.78767702438611</v>
      </c>
      <c r="I11" s="22"/>
      <c r="Y11" s="11">
        <v>15</v>
      </c>
    </row>
    <row r="12" spans="1:25" x14ac:dyDescent="0.25">
      <c r="A12" s="13" t="s">
        <v>95</v>
      </c>
      <c r="B12" s="33">
        <f>Calculator!B32</f>
        <v>0.102686365428298</v>
      </c>
      <c r="C12" s="15">
        <f>INDEX('(E) EF_Tables'!$B$18:$B$33,MATCH($A12,'(E) EF_Tables'!$A$18:$A$33,0))</f>
        <v>820.05998135996003</v>
      </c>
      <c r="D12" s="15">
        <f>INDEX('(E) EF_Tables'!$C$18:$C$33,MATCH($A12,'(E) EF_Tables'!$A$18:$A$33,0))</f>
        <v>0</v>
      </c>
      <c r="E12" s="15">
        <f t="shared" si="0"/>
        <v>84.2089789190521</v>
      </c>
      <c r="F12" s="15">
        <f t="shared" si="1"/>
        <v>0</v>
      </c>
      <c r="I12" s="22"/>
      <c r="Y12" s="11">
        <v>16</v>
      </c>
    </row>
    <row r="13" spans="1:25" x14ac:dyDescent="0.25">
      <c r="A13" s="13" t="s">
        <v>96</v>
      </c>
      <c r="B13" s="33">
        <f>Calculator!B33</f>
        <v>4.0678443372317904E-3</v>
      </c>
      <c r="C13" s="15">
        <f>INDEX('(E) EF_Tables'!$B$18:$B$33,MATCH($A13,'(E) EF_Tables'!$A$18:$A$33,0))</f>
        <v>9928.3991059899909</v>
      </c>
      <c r="D13" s="15">
        <f>INDEX('(E) EF_Tables'!$C$18:$C$33,MATCH($A13,'(E) EF_Tables'!$A$18:$A$33,0))</f>
        <v>17.932009482742899</v>
      </c>
      <c r="E13" s="15">
        <f t="shared" si="0"/>
        <v>40.387182081078556</v>
      </c>
      <c r="F13" s="15">
        <f t="shared" si="1"/>
        <v>7.2944623229562466E-2</v>
      </c>
      <c r="Y13" s="11">
        <v>17</v>
      </c>
    </row>
    <row r="14" spans="1:25" x14ac:dyDescent="0.25">
      <c r="A14" s="13" t="s">
        <v>97</v>
      </c>
      <c r="B14" s="33">
        <f>Calculator!B34</f>
        <v>2.59321556627682E-2</v>
      </c>
      <c r="C14" s="15">
        <f>INDEX('(E) EF_Tables'!$B$18:$B$33,MATCH($A14,'(E) EF_Tables'!$A$18:$A$33,0))</f>
        <v>0</v>
      </c>
      <c r="D14" s="15">
        <f>INDEX('(E) EF_Tables'!$C$18:$C$33,MATCH($A14,'(E) EF_Tables'!$A$18:$A$33,0))</f>
        <v>1.69906453637229</v>
      </c>
      <c r="E14" s="15">
        <f t="shared" si="0"/>
        <v>0</v>
      </c>
      <c r="F14" s="15">
        <f t="shared" si="1"/>
        <v>4.4060406038295308E-2</v>
      </c>
      <c r="I14" s="22"/>
      <c r="Y14" s="11">
        <v>18</v>
      </c>
    </row>
    <row r="15" spans="1:25" x14ac:dyDescent="0.25">
      <c r="A15" s="13" t="s">
        <v>98</v>
      </c>
      <c r="B15" s="33">
        <f>Calculator!B35</f>
        <v>0.01</v>
      </c>
      <c r="C15" s="15">
        <f>INDEX('(E) EF_Tables'!$B$18:$B$33,MATCH($A15,'(E) EF_Tables'!$A$18:$A$33,0))</f>
        <v>56191.419446260697</v>
      </c>
      <c r="D15" s="15">
        <f>INDEX('(E) EF_Tables'!$C$18:$C$33,MATCH($A15,'(E) EF_Tables'!$A$18:$A$33,0))</f>
        <v>959.27732623076599</v>
      </c>
      <c r="E15" s="15">
        <f t="shared" si="0"/>
        <v>561.91419446260704</v>
      </c>
      <c r="F15" s="15">
        <f t="shared" si="1"/>
        <v>9.5927732623076594</v>
      </c>
      <c r="I15" s="22"/>
      <c r="Y15" s="11">
        <v>19</v>
      </c>
    </row>
    <row r="16" spans="1:25" x14ac:dyDescent="0.25">
      <c r="A16" s="13" t="s">
        <v>99</v>
      </c>
      <c r="B16" s="33">
        <f>Calculator!B36</f>
        <v>8.9602770842328594E-2</v>
      </c>
      <c r="C16" s="15">
        <f>INDEX('(E) EF_Tables'!$B$18:$B$33,MATCH($A16,'(E) EF_Tables'!$A$18:$A$33,0))</f>
        <v>0</v>
      </c>
      <c r="D16" s="15">
        <f>INDEX('(E) EF_Tables'!$C$18:$C$33,MATCH($A16,'(E) EF_Tables'!$A$18:$A$33,0))</f>
        <v>0</v>
      </c>
      <c r="E16" s="15">
        <f t="shared" si="0"/>
        <v>0</v>
      </c>
      <c r="F16" s="15">
        <f t="shared" si="1"/>
        <v>0</v>
      </c>
      <c r="Y16" s="11">
        <v>20</v>
      </c>
    </row>
    <row r="17" spans="1:25" x14ac:dyDescent="0.25">
      <c r="A17" s="13" t="s">
        <v>100</v>
      </c>
      <c r="B17" s="33">
        <f>Calculator!B37</f>
        <v>0</v>
      </c>
      <c r="C17" s="15">
        <f>INDEX('(E) EF_Tables'!$B$18:$B$33,MATCH($A17,'(E) EF_Tables'!$A$18:$A$33,0))</f>
        <v>18448.278855708839</v>
      </c>
      <c r="D17" s="15">
        <f>INDEX('(E) EF_Tables'!$C$18:$C$33,MATCH($A17,'(E) EF_Tables'!$A$18:$A$33,0))</f>
        <v>413.10008599625172</v>
      </c>
      <c r="E17" s="15">
        <f t="shared" si="0"/>
        <v>0</v>
      </c>
      <c r="F17" s="15">
        <f t="shared" si="1"/>
        <v>0</v>
      </c>
      <c r="Y17" s="11">
        <v>21</v>
      </c>
    </row>
    <row r="18" spans="1:25" x14ac:dyDescent="0.25">
      <c r="A18" s="13" t="s">
        <v>101</v>
      </c>
      <c r="B18" s="33">
        <f>Calculator!B38</f>
        <v>0</v>
      </c>
      <c r="C18" s="15">
        <f>INDEX('(E) EF_Tables'!$B$18:$B$33,MATCH($A18,'(E) EF_Tables'!$A$18:$A$33,0))</f>
        <v>22039.939517416893</v>
      </c>
      <c r="D18" s="15">
        <f>INDEX('(E) EF_Tables'!$C$18:$C$33,MATCH($A18,'(E) EF_Tables'!$A$18:$A$33,0))</f>
        <v>326.30280008329373</v>
      </c>
      <c r="E18" s="15">
        <f t="shared" si="0"/>
        <v>0</v>
      </c>
      <c r="F18" s="15">
        <f t="shared" si="1"/>
        <v>0</v>
      </c>
      <c r="Y18" s="11">
        <v>22</v>
      </c>
    </row>
    <row r="19" spans="1:25" x14ac:dyDescent="0.25">
      <c r="A19" s="13" t="s">
        <v>102</v>
      </c>
      <c r="B19" s="33">
        <f>Calculator!B39</f>
        <v>0.14520978430231499</v>
      </c>
      <c r="C19" s="15">
        <f>INDEX('(E) EF_Tables'!$B$18:$B$33,MATCH($A19,'(E) EF_Tables'!$A$18:$A$33,0))</f>
        <v>0</v>
      </c>
      <c r="D19" s="15">
        <f>INDEX('(E) EF_Tables'!$C$18:$C$33,MATCH($A19,'(E) EF_Tables'!$A$18:$A$33,0))</f>
        <v>0</v>
      </c>
      <c r="E19" s="15">
        <f t="shared" si="0"/>
        <v>0</v>
      </c>
      <c r="F19" s="15">
        <f t="shared" si="1"/>
        <v>0</v>
      </c>
      <c r="Y19" s="11">
        <v>23</v>
      </c>
    </row>
    <row r="20" spans="1:25" x14ac:dyDescent="0.25">
      <c r="A20" s="13" t="s">
        <v>103</v>
      </c>
      <c r="B20" s="33">
        <f>Calculator!B40</f>
        <v>0.113769171563198</v>
      </c>
      <c r="C20" s="15">
        <f>INDEX('(E) EF_Tables'!$B$18:$B$33,MATCH($A20,'(E) EF_Tables'!$A$18:$A$33,0))</f>
        <v>18448.278855708839</v>
      </c>
      <c r="D20" s="15">
        <f>INDEX('(E) EF_Tables'!$C$18:$C$33,MATCH($A20,'(E) EF_Tables'!$A$18:$A$33,0))</f>
        <v>413.10008599625172</v>
      </c>
      <c r="E20" s="15">
        <f t="shared" si="0"/>
        <v>2098.845402180857</v>
      </c>
      <c r="F20" s="15">
        <f t="shared" si="1"/>
        <v>46.99805455647941</v>
      </c>
      <c r="Y20" s="11">
        <v>24</v>
      </c>
    </row>
    <row r="21" spans="1:25" x14ac:dyDescent="0.25">
      <c r="A21" s="13" t="s">
        <v>104</v>
      </c>
      <c r="B21" s="33">
        <f>Calculator!B41</f>
        <v>0</v>
      </c>
      <c r="C21" s="15">
        <f>INDEX('(E) EF_Tables'!$B$18:$B$33,MATCH($A21,'(E) EF_Tables'!$A$18:$A$33,0))</f>
        <v>18448.278855708839</v>
      </c>
      <c r="D21" s="15">
        <f>INDEX('(E) EF_Tables'!$C$18:$C$33,MATCH($A21,'(E) EF_Tables'!$A$18:$A$33,0))</f>
        <v>413.10008599625172</v>
      </c>
      <c r="E21" s="15">
        <f t="shared" si="0"/>
        <v>0</v>
      </c>
      <c r="F21" s="15">
        <f t="shared" si="1"/>
        <v>0</v>
      </c>
      <c r="Y21" s="11" t="s">
        <v>105</v>
      </c>
    </row>
    <row r="22" spans="1:25" x14ac:dyDescent="0.25">
      <c r="Y22" s="11" t="s">
        <v>105</v>
      </c>
    </row>
    <row r="23" spans="1:25" x14ac:dyDescent="0.25">
      <c r="A23" s="16" t="s">
        <v>106</v>
      </c>
      <c r="B23" s="14">
        <f>SUM(B6:B21)</f>
        <v>1.0000000000000011</v>
      </c>
      <c r="Y23" s="11" t="s">
        <v>105</v>
      </c>
    </row>
    <row r="24" spans="1:25" x14ac:dyDescent="0.25">
      <c r="A24" s="16" t="s">
        <v>107</v>
      </c>
      <c r="B24" s="17">
        <f>SUM(E6:E21)</f>
        <v>14474.899014654318</v>
      </c>
      <c r="Y24" s="11" t="s">
        <v>105</v>
      </c>
    </row>
    <row r="25" spans="1:25" x14ac:dyDescent="0.25">
      <c r="A25" s="16" t="s">
        <v>108</v>
      </c>
      <c r="B25" s="17">
        <f>SUM(F6:F21)</f>
        <v>316.98268492886854</v>
      </c>
      <c r="Y25" s="11" t="s">
        <v>105</v>
      </c>
    </row>
    <row r="26" spans="1:25" x14ac:dyDescent="0.25">
      <c r="A26" s="16" t="s">
        <v>109</v>
      </c>
      <c r="B26" s="18">
        <f>'(E) EF_Tables'!$B$12</f>
        <v>4.8637978879840102E-2</v>
      </c>
      <c r="Y26" s="11" t="s">
        <v>105</v>
      </c>
    </row>
    <row r="27" spans="1:25" x14ac:dyDescent="0.25">
      <c r="A27" s="16" t="s">
        <v>110</v>
      </c>
      <c r="B27" s="19">
        <f>(B24/'(E) EF_Tables'!$B$10 + B25/'(E) EF_Tables'!$B$11)/(1-B26)</f>
        <v>106.97326642145403</v>
      </c>
      <c r="Y27" s="11" t="s">
        <v>105</v>
      </c>
    </row>
    <row r="28" spans="1:25" x14ac:dyDescent="0.25">
      <c r="Y28" s="11" t="s">
        <v>105</v>
      </c>
    </row>
    <row r="29" spans="1:25" x14ac:dyDescent="0.25">
      <c r="Y29" s="11" t="s">
        <v>105</v>
      </c>
    </row>
    <row r="30" spans="1:25" ht="15.75" thickBot="1" x14ac:dyDescent="0.3">
      <c r="Y30" s="11" t="s">
        <v>105</v>
      </c>
    </row>
    <row r="31" spans="1:25" ht="15" customHeight="1" thickBot="1" x14ac:dyDescent="0.3">
      <c r="A31" s="120" t="s">
        <v>111</v>
      </c>
      <c r="B31" s="120"/>
      <c r="C31" s="120"/>
      <c r="D31" s="120"/>
      <c r="E31" s="120"/>
      <c r="F31" s="120"/>
      <c r="G31" s="120"/>
      <c r="H31" s="120"/>
      <c r="I31" s="120"/>
      <c r="Y31" s="11" t="s">
        <v>105</v>
      </c>
    </row>
    <row r="32" spans="1:25" ht="25.5" x14ac:dyDescent="0.25">
      <c r="B32" s="12" t="s">
        <v>98</v>
      </c>
      <c r="C32" s="12" t="s">
        <v>112</v>
      </c>
      <c r="D32" s="12" t="s">
        <v>91</v>
      </c>
      <c r="E32" s="12" t="s">
        <v>90</v>
      </c>
      <c r="F32" s="12" t="s">
        <v>89</v>
      </c>
      <c r="G32" s="12" t="s">
        <v>95</v>
      </c>
      <c r="H32" s="12" t="s">
        <v>113</v>
      </c>
      <c r="I32" s="12" t="s">
        <v>114</v>
      </c>
      <c r="Y32" s="11" t="s">
        <v>105</v>
      </c>
    </row>
    <row r="33" spans="1:25" x14ac:dyDescent="0.25">
      <c r="A33" s="13" t="s">
        <v>115</v>
      </c>
      <c r="B33" s="15">
        <f>I1*INDEX('(E) EF_Tables'!$E$18:$E$33,MATCH("Petroleum",'(E) EF_Tables'!$A$18:$A$33,0))</f>
        <v>0</v>
      </c>
      <c r="C33" s="15">
        <f>I2*INDEX('(E) EF_Tables'!$E$18:$E$33,MATCH("Natural Gas",'(E) EF_Tables'!$A$18:$A$33,0))</f>
        <v>0</v>
      </c>
      <c r="D33" s="15">
        <f>I3*INDEX('(E) EF_Tables'!$E$18:$E$33,MATCH("Coal",'(E) EF_Tables'!$A$18:$A$33,0))</f>
        <v>0</v>
      </c>
      <c r="E33" s="15" t="e">
        <f>#REF!*INDEX('(E) EF_Tables'!$E$18:$E$33,MATCH("Biomass",'(E) EF_Tables'!$A$18:$A$33,0))</f>
        <v>#REF!</v>
      </c>
      <c r="F33" s="15">
        <f>I4*INDEX('(E) EF_Tables'!$E$18:$E$33,MATCH("Biogas",'(E) EF_Tables'!$A$18:$A$33,0))</f>
        <v>0</v>
      </c>
      <c r="G33" s="15">
        <f>I5*INDEX('(E) EF_Tables'!$E$18:$E$33,MATCH("Nuclear",'(E) EF_Tables'!$A$18:$A$33,0))</f>
        <v>0</v>
      </c>
      <c r="H33" s="15">
        <f>I6*INDEX('(E) EF_Tables'!$E$18:$E$33,MATCH("Unknown",'(E) EF_Tables'!$A$18:$A$33,0))</f>
        <v>0</v>
      </c>
      <c r="I33" s="15" t="e">
        <f>SUM(B33:H33)</f>
        <v>#REF!</v>
      </c>
      <c r="Y33" s="11" t="s">
        <v>105</v>
      </c>
    </row>
    <row r="34" spans="1:25" x14ac:dyDescent="0.25">
      <c r="A34" s="13" t="s">
        <v>116</v>
      </c>
      <c r="B34" s="15">
        <f>I1*INDEX('(E) EF_Tables'!$F$18:$F$33,MATCH("Petroleum",'(E) EF_Tables'!$A$18:$A$33,0))</f>
        <v>0</v>
      </c>
      <c r="C34" s="15">
        <f>I2*INDEX('(E) EF_Tables'!$F$18:$F$33,MATCH("Natural Gas",'(E) EF_Tables'!$A$18:$A$33,0))</f>
        <v>0</v>
      </c>
      <c r="D34" s="15">
        <f>I3*INDEX('(E) EF_Tables'!$F$18:$F$33,MATCH("Coal",'(E) EF_Tables'!$A$18:$A$33,0))</f>
        <v>0</v>
      </c>
      <c r="E34" s="15" t="e">
        <f>#REF!*INDEX('(E) EF_Tables'!$F$18:$F$33,MATCH("Biomass",'(E) EF_Tables'!$A$18:$A$33,0))</f>
        <v>#REF!</v>
      </c>
      <c r="F34" s="15">
        <f>I4*INDEX('(E) EF_Tables'!$F$18:$F$33,MATCH("Biogas",'(E) EF_Tables'!$A$18:$A$33,0))</f>
        <v>0</v>
      </c>
      <c r="G34" s="15">
        <f>I5*INDEX('(E) EF_Tables'!$F$18:$F$33,MATCH("Nuclear",'(E) EF_Tables'!$A$18:$A$33,0))</f>
        <v>0</v>
      </c>
      <c r="H34" s="15">
        <f>I6*INDEX('(E) EF_Tables'!$F$18:$F$33,MATCH("Unknown",'(E) EF_Tables'!$A$18:$A$33,0))</f>
        <v>0</v>
      </c>
      <c r="I34" s="15" t="e">
        <f>SUM(B34:H34)</f>
        <v>#REF!</v>
      </c>
      <c r="Y34" s="11" t="s">
        <v>105</v>
      </c>
    </row>
    <row r="35" spans="1:25" x14ac:dyDescent="0.25">
      <c r="A35" s="13" t="s">
        <v>117</v>
      </c>
      <c r="B35" s="15">
        <f>I1*INDEX('(E) EF_Tables'!$G$18:$G$33,MATCH("Petroleum",'(E) EF_Tables'!$A$18:$A$33,0))</f>
        <v>0</v>
      </c>
      <c r="C35" s="15">
        <f>I2*INDEX('(E) EF_Tables'!$G$18:$G$33,MATCH("Natural Gas",'(E) EF_Tables'!$A$18:$A$33,0))</f>
        <v>0</v>
      </c>
      <c r="D35" s="15">
        <f>I3*INDEX('(E) EF_Tables'!$G$18:$G$33,MATCH("Coal",'(E) EF_Tables'!$A$18:$A$33,0))</f>
        <v>0</v>
      </c>
      <c r="E35" s="15" t="e">
        <f>#REF!*INDEX('(E) EF_Tables'!$G$18:$G$33,MATCH("Biomass",'(E) EF_Tables'!$A$18:$A$33,0))</f>
        <v>#REF!</v>
      </c>
      <c r="F35" s="15">
        <f>I4*INDEX('(E) EF_Tables'!$G$18:$G$33,MATCH("Biogas",'(E) EF_Tables'!$A$18:$A$33,0))</f>
        <v>0</v>
      </c>
      <c r="G35" s="15">
        <f>I5*INDEX('(E) EF_Tables'!$G$18:$G$33,MATCH("Nuclear",'(E) EF_Tables'!$A$18:$A$33,0))</f>
        <v>0</v>
      </c>
      <c r="H35" s="15">
        <f>I6*INDEX('(E) EF_Tables'!$G$18:$G$33,MATCH("Unknown",'(E) EF_Tables'!$A$18:$A$33,0))</f>
        <v>0</v>
      </c>
      <c r="I35" s="15" t="e">
        <f>SUM(B35:H35)</f>
        <v>#REF!</v>
      </c>
      <c r="Y35" s="11" t="s">
        <v>105</v>
      </c>
    </row>
    <row r="36" spans="1:25" x14ac:dyDescent="0.25">
      <c r="A36" s="13" t="s">
        <v>118</v>
      </c>
      <c r="B36" s="15">
        <f>I1*INDEX('(E) EF_Tables'!$H$18:$H$33,MATCH("Petroleum",'(E) EF_Tables'!$A$18:$A$33,0))</f>
        <v>0</v>
      </c>
      <c r="C36" s="15">
        <f>I2*INDEX('(E) EF_Tables'!$H$18:$H$33,MATCH("Natural Gas",'(E) EF_Tables'!$A$18:$A$33,0))</f>
        <v>0</v>
      </c>
      <c r="D36" s="15">
        <f>I3*INDEX('(E) EF_Tables'!$H$18:$H$33,MATCH("Coal",'(E) EF_Tables'!$A$18:$A$33,0))</f>
        <v>0</v>
      </c>
      <c r="E36" s="15" t="e">
        <f>#REF!*INDEX('(E) EF_Tables'!$H$18:$H$33,MATCH("Biomass",'(E) EF_Tables'!$A$18:$A$33,0))</f>
        <v>#REF!</v>
      </c>
      <c r="F36" s="15">
        <f>I4*INDEX('(E) EF_Tables'!$H$18:$H$33,MATCH("Biogas",'(E) EF_Tables'!$A$18:$A$33,0))</f>
        <v>0</v>
      </c>
      <c r="G36" s="15">
        <f>I5*INDEX('(E) EF_Tables'!$H$18:$H$33,MATCH("Nuclear",'(E) EF_Tables'!$A$18:$A$33,0))</f>
        <v>0</v>
      </c>
      <c r="H36" s="15">
        <f>I6*INDEX('(E) EF_Tables'!$H$18:$H$33,MATCH("Unknown",'(E) EF_Tables'!$A$18:$A$33,0))</f>
        <v>0</v>
      </c>
      <c r="I36" s="15" t="e">
        <f>SUM(B36:H36)</f>
        <v>#REF!</v>
      </c>
      <c r="Y36" s="11" t="s">
        <v>105</v>
      </c>
    </row>
    <row r="37" spans="1:25" x14ac:dyDescent="0.25">
      <c r="A37" s="13" t="s">
        <v>119</v>
      </c>
      <c r="B37" s="15">
        <f>I1*INDEX('(E) EF_Tables'!$I$18:$I$33,MATCH("Petroleum",'(E) EF_Tables'!$A$18:$A$33,0))</f>
        <v>0</v>
      </c>
      <c r="C37" s="15">
        <f>I2*INDEX('(E) EF_Tables'!$I$18:$I$33,MATCH("Natural Gas",'(E) EF_Tables'!$A$18:$A$33,0))</f>
        <v>0</v>
      </c>
      <c r="D37" s="15">
        <f>I3*INDEX('(E) EF_Tables'!$I$18:$I$33,MATCH("Coal",'(E) EF_Tables'!$A$18:$A$33,0))</f>
        <v>0</v>
      </c>
      <c r="E37" s="15" t="e">
        <f>#REF!*INDEX('(E) EF_Tables'!$I$18:$I$33,MATCH("Biomass",'(E) EF_Tables'!$A$18:$A$33,0))</f>
        <v>#REF!</v>
      </c>
      <c r="F37" s="15">
        <f>I4*INDEX('(E) EF_Tables'!$I$18:$I$33,MATCH("Biogas",'(E) EF_Tables'!$A$18:$A$33,0))</f>
        <v>0</v>
      </c>
      <c r="G37" s="15">
        <f>I5*INDEX('(E) EF_Tables'!$I$18:$I$33,MATCH("Nuclear",'(E) EF_Tables'!$A$18:$A$33,0))</f>
        <v>0</v>
      </c>
      <c r="H37" s="15">
        <f>I6*INDEX('(E) EF_Tables'!$I$18:$I$33,MATCH("Unknown",'(E) EF_Tables'!$A$18:$A$33,0))</f>
        <v>0</v>
      </c>
      <c r="I37" s="15" t="e">
        <f>SUM(B37:H37)</f>
        <v>#REF!</v>
      </c>
      <c r="Y37" s="11" t="s">
        <v>105</v>
      </c>
    </row>
    <row r="38" spans="1:25" x14ac:dyDescent="0.25">
      <c r="A38" s="13" t="s">
        <v>120</v>
      </c>
      <c r="I38" s="20" t="e">
        <f>SUM(I33:I37)</f>
        <v>#REF!</v>
      </c>
      <c r="Y38" s="11" t="s">
        <v>105</v>
      </c>
    </row>
    <row r="39" spans="1:25" x14ac:dyDescent="0.25">
      <c r="A39" s="13" t="s">
        <v>121</v>
      </c>
      <c r="I39" s="20" t="e">
        <f>I38/'(E) EF_Tables'!$B$10</f>
        <v>#REF!</v>
      </c>
      <c r="Y39" s="11" t="s">
        <v>105</v>
      </c>
    </row>
    <row r="40" spans="1:25" x14ac:dyDescent="0.25">
      <c r="A40" s="13" t="s">
        <v>122</v>
      </c>
      <c r="I40" s="20" t="e">
        <f>I39*'(E) EF_Tables'!$B$11</f>
        <v>#REF!</v>
      </c>
      <c r="Y40" s="11" t="s">
        <v>105</v>
      </c>
    </row>
    <row r="41" spans="1:25" x14ac:dyDescent="0.25">
      <c r="Y41" s="11" t="s">
        <v>105</v>
      </c>
    </row>
    <row r="42" spans="1:25" ht="15.75" thickBot="1" x14ac:dyDescent="0.3">
      <c r="Y42" s="11" t="s">
        <v>105</v>
      </c>
    </row>
    <row r="43" spans="1:25" ht="15" customHeight="1" thickBot="1" x14ac:dyDescent="0.3">
      <c r="A43" s="120" t="s">
        <v>123</v>
      </c>
      <c r="B43" s="120"/>
      <c r="C43" s="120"/>
      <c r="D43" s="120"/>
      <c r="E43" s="120"/>
      <c r="F43" s="120"/>
      <c r="G43" s="120"/>
      <c r="H43" s="120"/>
      <c r="I43" s="120"/>
      <c r="J43" s="120"/>
      <c r="Y43" s="11" t="s">
        <v>105</v>
      </c>
    </row>
    <row r="44" spans="1:25" ht="25.5" x14ac:dyDescent="0.25">
      <c r="B44" s="12" t="s">
        <v>98</v>
      </c>
      <c r="C44" s="12" t="s">
        <v>112</v>
      </c>
      <c r="D44" s="12" t="s">
        <v>91</v>
      </c>
      <c r="E44" s="12" t="s">
        <v>90</v>
      </c>
      <c r="F44" s="12" t="s">
        <v>89</v>
      </c>
      <c r="G44" s="12" t="s">
        <v>95</v>
      </c>
      <c r="H44" s="12" t="s">
        <v>113</v>
      </c>
      <c r="I44" s="12" t="s">
        <v>124</v>
      </c>
      <c r="J44" s="12" t="s">
        <v>125</v>
      </c>
      <c r="Y44" s="11" t="s">
        <v>105</v>
      </c>
    </row>
    <row r="45" spans="1:25" x14ac:dyDescent="0.25">
      <c r="A45" s="13" t="s">
        <v>115</v>
      </c>
      <c r="B45" s="15">
        <f>I10*INDEX('(E) EF_Tables'!$J$18:$J$33,MATCH("Petroleum",'(E) EF_Tables'!$A$18:$A$33,0))</f>
        <v>0</v>
      </c>
      <c r="C45" s="15">
        <f>I11*INDEX('(E) EF_Tables'!$J$18:$J$33,MATCH("Natural Gas",'(E) EF_Tables'!$A$18:$A$33,0))</f>
        <v>0</v>
      </c>
      <c r="D45" s="15">
        <f>I12*INDEX('(E) EF_Tables'!$J$18:$J$33,MATCH("Coal",'(E) EF_Tables'!$A$18:$A$33,0))</f>
        <v>0</v>
      </c>
      <c r="E45" s="15">
        <f>I13*INDEX('(E) EF_Tables'!$J$18:$J$33,MATCH("Biomass",'(E) EF_Tables'!$A$18:$A$33,0))</f>
        <v>0</v>
      </c>
      <c r="F45" s="15">
        <f>I14*INDEX('(E) EF_Tables'!$J$18:$J$33,MATCH("Biogas",'(E) EF_Tables'!$A$18:$A$33,0))</f>
        <v>0</v>
      </c>
      <c r="G45" s="15">
        <f>I15*INDEX('(E) EF_Tables'!$J$18:$J$33,MATCH("Nuclear",'(E) EF_Tables'!$A$18:$A$33,0))</f>
        <v>0</v>
      </c>
      <c r="H45" s="15">
        <f>I16*INDEX('(E) EF_Tables'!$J$18:$J$33,MATCH("Unknown",'(E) EF_Tables'!$A$18:$A$33,0))</f>
        <v>0</v>
      </c>
      <c r="I45" s="15">
        <f>SUM(B45:H45)</f>
        <v>0</v>
      </c>
      <c r="Y45" s="11" t="s">
        <v>105</v>
      </c>
    </row>
    <row r="46" spans="1:25" x14ac:dyDescent="0.25">
      <c r="A46" s="13" t="s">
        <v>116</v>
      </c>
      <c r="B46" s="15">
        <f>I10*INDEX('(E) EF_Tables'!$K$18:$K$33,MATCH("Petroleum",'(E) EF_Tables'!$A$18:$A$33,0))</f>
        <v>0</v>
      </c>
      <c r="C46" s="15">
        <f>I11*INDEX('(E) EF_Tables'!$K$18:$K$33,MATCH("Natural Gas",'(E) EF_Tables'!$A$18:$A$33,0))</f>
        <v>0</v>
      </c>
      <c r="D46" s="15">
        <f>I12*INDEX('(E) EF_Tables'!$K$18:$K$33,MATCH("Coal",'(E) EF_Tables'!$A$18:$A$33,0))</f>
        <v>0</v>
      </c>
      <c r="E46" s="15">
        <f>I13*INDEX('(E) EF_Tables'!$K$18:$K$33,MATCH("Biomass",'(E) EF_Tables'!$A$18:$A$33,0))</f>
        <v>0</v>
      </c>
      <c r="F46" s="15">
        <f>I14*INDEX('(E) EF_Tables'!$K$18:$K$33,MATCH("Biogas",'(E) EF_Tables'!$A$18:$A$33,0))</f>
        <v>0</v>
      </c>
      <c r="G46" s="15">
        <f>I15*INDEX('(E) EF_Tables'!$K$18:$K$33,MATCH("Nuclear",'(E) EF_Tables'!$A$18:$A$33,0))</f>
        <v>0</v>
      </c>
      <c r="H46" s="15">
        <f>I16*INDEX('(E) EF_Tables'!$K$18:$K$33,MATCH("Unknown",'(E) EF_Tables'!$A$18:$A$33,0))</f>
        <v>0</v>
      </c>
      <c r="I46" s="15">
        <f>SUM(B46:H46)</f>
        <v>0</v>
      </c>
      <c r="Y46" s="11" t="s">
        <v>105</v>
      </c>
    </row>
    <row r="47" spans="1:25" x14ac:dyDescent="0.25">
      <c r="A47" s="13" t="s">
        <v>117</v>
      </c>
      <c r="B47" s="15">
        <f>I10*INDEX('(E) EF_Tables'!$L$18:$L$33,MATCH("Petroleum",'(E) EF_Tables'!$A$18:$A$33,0))</f>
        <v>0</v>
      </c>
      <c r="C47" s="15">
        <f>I11*INDEX('(E) EF_Tables'!$L$18:$L$33,MATCH("Natural Gas",'(E) EF_Tables'!$A$18:$A$33,0))</f>
        <v>0</v>
      </c>
      <c r="D47" s="15">
        <f>I12*INDEX('(E) EF_Tables'!$L$18:$L$33,MATCH("Coal",'(E) EF_Tables'!$A$18:$A$33,0))</f>
        <v>0</v>
      </c>
      <c r="E47" s="15">
        <f>I13*INDEX('(E) EF_Tables'!$L$18:$L$33,MATCH("Biomass",'(E) EF_Tables'!$A$18:$A$33,0))</f>
        <v>0</v>
      </c>
      <c r="F47" s="15">
        <f>I14*INDEX('(E) EF_Tables'!$L$18:$L$33,MATCH("Biogas",'(E) EF_Tables'!$A$18:$A$33,0))</f>
        <v>0</v>
      </c>
      <c r="G47" s="15">
        <f>I15*INDEX('(E) EF_Tables'!$L$18:$L$33,MATCH("Nuclear",'(E) EF_Tables'!$A$18:$A$33,0))</f>
        <v>0</v>
      </c>
      <c r="H47" s="15">
        <f>I16*INDEX('(E) EF_Tables'!$L$18:$L$33,MATCH("Unknown",'(E) EF_Tables'!$A$18:$A$33,0))</f>
        <v>0</v>
      </c>
      <c r="I47" s="15">
        <f>SUM(B47:H47)</f>
        <v>0</v>
      </c>
      <c r="Y47" s="11" t="s">
        <v>105</v>
      </c>
    </row>
    <row r="48" spans="1:25" x14ac:dyDescent="0.25">
      <c r="A48" s="13" t="s">
        <v>118</v>
      </c>
      <c r="B48" s="15">
        <f>I10*INDEX('(E) EF_Tables'!$M$18:$M$33,MATCH("Petroleum",'(E) EF_Tables'!$A$18:$A$33,0))</f>
        <v>0</v>
      </c>
      <c r="C48" s="15">
        <f>I11*INDEX('(E) EF_Tables'!$M$18:$M$33,MATCH("Natural Gas",'(E) EF_Tables'!$A$18:$A$33,0))</f>
        <v>0</v>
      </c>
      <c r="D48" s="15">
        <f>I12*INDEX('(E) EF_Tables'!$M$18:$M$33,MATCH("Coal",'(E) EF_Tables'!$A$18:$A$33,0))</f>
        <v>0</v>
      </c>
      <c r="E48" s="15">
        <f>I13*INDEX('(E) EF_Tables'!$M$18:$M$33,MATCH("Biomass",'(E) EF_Tables'!$A$18:$A$33,0))</f>
        <v>0</v>
      </c>
      <c r="F48" s="15">
        <f>I14*INDEX('(E) EF_Tables'!$M$18:$M$33,MATCH("Biogas",'(E) EF_Tables'!$A$18:$A$33,0))</f>
        <v>0</v>
      </c>
      <c r="G48" s="15">
        <f>I15*INDEX('(E) EF_Tables'!$M$18:$M$33,MATCH("Nuclear",'(E) EF_Tables'!$A$18:$A$33,0))</f>
        <v>0</v>
      </c>
      <c r="H48" s="15">
        <f>I16*INDEX('(E) EF_Tables'!$M$18:$M$33,MATCH("Unknown",'(E) EF_Tables'!$A$18:$A$33,0))</f>
        <v>0</v>
      </c>
      <c r="I48" s="15">
        <f>SUM(B48:H48)</f>
        <v>0</v>
      </c>
      <c r="Y48" s="11" t="s">
        <v>105</v>
      </c>
    </row>
    <row r="49" spans="1:25" x14ac:dyDescent="0.25">
      <c r="A49" s="13" t="s">
        <v>119</v>
      </c>
      <c r="B49" s="15">
        <f>I10*INDEX('(E) EF_Tables'!$N$18:$N$33,MATCH("Petroleum",'(E) EF_Tables'!$A$18:$A$33,0))</f>
        <v>0</v>
      </c>
      <c r="C49" s="15">
        <f>I11*INDEX('(E) EF_Tables'!$N$18:$N$33,MATCH("Natural Gas",'(E) EF_Tables'!$A$18:$A$33,0))</f>
        <v>0</v>
      </c>
      <c r="D49" s="15">
        <f>I12*INDEX('(E) EF_Tables'!$N$18:$N$33,MATCH("Coal",'(E) EF_Tables'!$A$18:$A$33,0))</f>
        <v>0</v>
      </c>
      <c r="E49" s="15">
        <f>I13*INDEX('(E) EF_Tables'!$N$18:$N$33,MATCH("Biomass",'(E) EF_Tables'!$A$18:$A$33,0))</f>
        <v>0</v>
      </c>
      <c r="F49" s="15">
        <f>I14*INDEX('(E) EF_Tables'!$N$18:$N$33,MATCH("Biogas",'(E) EF_Tables'!$A$18:$A$33,0))</f>
        <v>0</v>
      </c>
      <c r="G49" s="15">
        <f>I15*INDEX('(E) EF_Tables'!$N$18:$N$33,MATCH("Nuclear",'(E) EF_Tables'!$A$18:$A$33,0))</f>
        <v>0</v>
      </c>
      <c r="H49" s="15">
        <f>I16*INDEX('(E) EF_Tables'!$N$18:$N$33,MATCH("Unknown",'(E) EF_Tables'!$A$18:$A$33,0))</f>
        <v>0</v>
      </c>
      <c r="I49" s="15">
        <f>SUM(B49:H49)</f>
        <v>0</v>
      </c>
      <c r="Y49" s="11" t="s">
        <v>105</v>
      </c>
    </row>
    <row r="50" spans="1:25" x14ac:dyDescent="0.25">
      <c r="A50" s="13" t="s">
        <v>126</v>
      </c>
      <c r="I50" s="20">
        <f>SUM(I45:I49)</f>
        <v>0</v>
      </c>
      <c r="J50" s="21"/>
      <c r="Y50" s="11" t="s">
        <v>105</v>
      </c>
    </row>
    <row r="51" spans="1:25" x14ac:dyDescent="0.25">
      <c r="A51" s="13" t="s">
        <v>121</v>
      </c>
      <c r="I51" s="20">
        <f>I50/'(E) EF_Tables'!$B$11</f>
        <v>0</v>
      </c>
      <c r="J51" s="21"/>
      <c r="Y51" s="11" t="s">
        <v>105</v>
      </c>
    </row>
    <row r="52" spans="1:25" x14ac:dyDescent="0.25">
      <c r="A52" s="13" t="s">
        <v>125</v>
      </c>
      <c r="I52" s="21"/>
      <c r="J52" s="19" t="e">
        <f>(I39+I51)/(1-$B$26)</f>
        <v>#REF!</v>
      </c>
      <c r="Y52" s="11" t="s">
        <v>105</v>
      </c>
    </row>
    <row r="53" spans="1:25" x14ac:dyDescent="0.25">
      <c r="Y53" s="11" t="s">
        <v>105</v>
      </c>
    </row>
    <row r="54" spans="1:25" ht="45" customHeight="1" x14ac:dyDescent="0.25">
      <c r="A54" s="121" t="s">
        <v>127</v>
      </c>
      <c r="B54" s="121"/>
      <c r="C54" s="121"/>
      <c r="E54" s="122" t="s">
        <v>128</v>
      </c>
      <c r="F54" s="122"/>
      <c r="G54" s="122"/>
      <c r="H54" s="122"/>
      <c r="Y54" s="11" t="s">
        <v>105</v>
      </c>
    </row>
    <row r="55" spans="1:25" x14ac:dyDescent="0.25">
      <c r="Y55" s="11" t="s">
        <v>105</v>
      </c>
    </row>
    <row r="56" spans="1:25" x14ac:dyDescent="0.25">
      <c r="Y56" s="11" t="s">
        <v>105</v>
      </c>
    </row>
    <row r="57" spans="1:25" x14ac:dyDescent="0.25">
      <c r="Y57" s="11" t="s">
        <v>105</v>
      </c>
    </row>
    <row r="58" spans="1:25" x14ac:dyDescent="0.25">
      <c r="Y58" s="11" t="s">
        <v>105</v>
      </c>
    </row>
    <row r="59" spans="1:25" x14ac:dyDescent="0.25">
      <c r="Y59" s="11" t="s">
        <v>105</v>
      </c>
    </row>
    <row r="60" spans="1:25" x14ac:dyDescent="0.25">
      <c r="Y60" s="11" t="s">
        <v>105</v>
      </c>
    </row>
    <row r="61" spans="1:25" x14ac:dyDescent="0.25">
      <c r="Y61" s="11" t="s">
        <v>105</v>
      </c>
    </row>
    <row r="62" spans="1:25" x14ac:dyDescent="0.25">
      <c r="Y62" s="11" t="s">
        <v>105</v>
      </c>
    </row>
    <row r="63" spans="1:25" x14ac:dyDescent="0.25">
      <c r="Y63" s="11" t="s">
        <v>105</v>
      </c>
    </row>
    <row r="64" spans="1:25" x14ac:dyDescent="0.25">
      <c r="Y64" s="11" t="s">
        <v>105</v>
      </c>
    </row>
    <row r="65" spans="25:25" x14ac:dyDescent="0.25">
      <c r="Y65" s="11" t="s">
        <v>105</v>
      </c>
    </row>
    <row r="66" spans="25:25" x14ac:dyDescent="0.25">
      <c r="Y66" s="11" t="s">
        <v>105</v>
      </c>
    </row>
    <row r="67" spans="25:25" x14ac:dyDescent="0.25">
      <c r="Y67" s="11" t="s">
        <v>105</v>
      </c>
    </row>
    <row r="68" spans="25:25" x14ac:dyDescent="0.25">
      <c r="Y68" s="11" t="s">
        <v>105</v>
      </c>
    </row>
    <row r="69" spans="25:25" x14ac:dyDescent="0.25">
      <c r="Y69" s="11" t="s">
        <v>105</v>
      </c>
    </row>
    <row r="70" spans="25:25" x14ac:dyDescent="0.25">
      <c r="Y70" s="11" t="s">
        <v>105</v>
      </c>
    </row>
    <row r="71" spans="25:25" x14ac:dyDescent="0.25">
      <c r="Y71" s="11" t="s">
        <v>105</v>
      </c>
    </row>
    <row r="72" spans="25:25" x14ac:dyDescent="0.25">
      <c r="Y72" s="11" t="s">
        <v>105</v>
      </c>
    </row>
    <row r="73" spans="25:25" x14ac:dyDescent="0.25">
      <c r="Y73" s="11" t="s">
        <v>105</v>
      </c>
    </row>
    <row r="74" spans="25:25" x14ac:dyDescent="0.25">
      <c r="Y74" s="11" t="s">
        <v>105</v>
      </c>
    </row>
    <row r="75" spans="25:25" x14ac:dyDescent="0.25">
      <c r="Y75" s="11" t="s">
        <v>105</v>
      </c>
    </row>
    <row r="76" spans="25:25" x14ac:dyDescent="0.25">
      <c r="Y76" s="11" t="s">
        <v>105</v>
      </c>
    </row>
    <row r="77" spans="25:25" x14ac:dyDescent="0.25">
      <c r="Y77" s="11" t="s">
        <v>105</v>
      </c>
    </row>
    <row r="78" spans="25:25" x14ac:dyDescent="0.25">
      <c r="Y78" s="11" t="s">
        <v>105</v>
      </c>
    </row>
    <row r="79" spans="25:25" x14ac:dyDescent="0.25">
      <c r="Y79" s="11" t="s">
        <v>105</v>
      </c>
    </row>
    <row r="80" spans="25:25" x14ac:dyDescent="0.25">
      <c r="Y80" s="11" t="s">
        <v>105</v>
      </c>
    </row>
    <row r="81" spans="25:25" x14ac:dyDescent="0.25">
      <c r="Y81" s="11" t="s">
        <v>105</v>
      </c>
    </row>
    <row r="82" spans="25:25" x14ac:dyDescent="0.25">
      <c r="Y82" s="11" t="s">
        <v>105</v>
      </c>
    </row>
    <row r="83" spans="25:25" x14ac:dyDescent="0.25">
      <c r="Y83" s="11" t="s">
        <v>105</v>
      </c>
    </row>
    <row r="84" spans="25:25" x14ac:dyDescent="0.25">
      <c r="Y84" s="11" t="s">
        <v>105</v>
      </c>
    </row>
    <row r="85" spans="25:25" x14ac:dyDescent="0.25">
      <c r="Y85" s="11" t="s">
        <v>105</v>
      </c>
    </row>
    <row r="86" spans="25:25" x14ac:dyDescent="0.25">
      <c r="Y86" s="11" t="s">
        <v>105</v>
      </c>
    </row>
    <row r="87" spans="25:25" x14ac:dyDescent="0.25">
      <c r="Y87" s="11" t="s">
        <v>105</v>
      </c>
    </row>
    <row r="88" spans="25:25" x14ac:dyDescent="0.25">
      <c r="Y88" s="11" t="s">
        <v>105</v>
      </c>
    </row>
    <row r="89" spans="25:25" x14ac:dyDescent="0.25">
      <c r="Y89" s="11" t="s">
        <v>105</v>
      </c>
    </row>
    <row r="90" spans="25:25" x14ac:dyDescent="0.25">
      <c r="Y90" s="11" t="s">
        <v>105</v>
      </c>
    </row>
    <row r="91" spans="25:25" x14ac:dyDescent="0.25">
      <c r="Y91" s="11" t="s">
        <v>105</v>
      </c>
    </row>
    <row r="92" spans="25:25" x14ac:dyDescent="0.25">
      <c r="Y92" s="11" t="s">
        <v>105</v>
      </c>
    </row>
    <row r="93" spans="25:25" x14ac:dyDescent="0.25">
      <c r="Y93" s="11" t="s">
        <v>105</v>
      </c>
    </row>
    <row r="94" spans="25:25" x14ac:dyDescent="0.25">
      <c r="Y94" s="11" t="s">
        <v>105</v>
      </c>
    </row>
    <row r="95" spans="25:25" x14ac:dyDescent="0.25">
      <c r="Y95" s="11" t="s">
        <v>105</v>
      </c>
    </row>
    <row r="96" spans="25:25" x14ac:dyDescent="0.25">
      <c r="Y96" s="11" t="s">
        <v>105</v>
      </c>
    </row>
    <row r="97" x14ac:dyDescent="0.25"/>
    <row r="98" x14ac:dyDescent="0.25"/>
  </sheetData>
  <sheetProtection algorithmName="SHA-512" hashValue="NWILcdiQs+8Eha5sKYbT8+iAir1Id+Y9+YMIMwmdd4JAkvT2IAaJJgBOa2/+b2eoN7AtVQPyuBCLm5oOAUqjzw==" saltValue="n3Imw+REJZPovcaWJ2DloQ==" spinCount="100000" sheet="1"/>
  <mergeCells count="6">
    <mergeCell ref="A2:G2"/>
    <mergeCell ref="A1:G1"/>
    <mergeCell ref="A43:J43"/>
    <mergeCell ref="A54:C54"/>
    <mergeCell ref="E54:H54"/>
    <mergeCell ref="A31:I31"/>
  </mergeCells>
  <dataValidations count="1">
    <dataValidation type="decimal" error="Enter a share between 0 and 1." sqref="B6:B21" xr:uid="{F6614BC4-EE6B-4081-B9C7-7B5F23214DD5}">
      <formula1>0</formula1>
      <formula2>1</formula2>
    </dataValidation>
  </dataValidations>
  <pageMargins left="0.75" right="0.75" top="1" bottom="1" header="0.511811023622047" footer="0.511811023622047"/>
  <pageSetup paperSize="9" orientation="portrait" horizontalDpi="300" verticalDpi="300"/>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D63D4-FF95-4D91-AFC2-6AC6F7162552}">
  <sheetPr>
    <tabColor rgb="FFF4F1E2"/>
  </sheetPr>
  <dimension ref="A1:Q33"/>
  <sheetViews>
    <sheetView showGridLines="0" zoomScale="120" zoomScaleNormal="120" workbookViewId="0">
      <selection activeCell="C9" sqref="C9"/>
    </sheetView>
  </sheetViews>
  <sheetFormatPr defaultColWidth="8.7109375" defaultRowHeight="15" customHeight="1" x14ac:dyDescent="0.25"/>
  <cols>
    <col min="1" max="1" width="24" style="11" customWidth="1"/>
    <col min="2" max="3" width="18" style="11" customWidth="1"/>
    <col min="4" max="4" width="40" style="11" customWidth="1"/>
    <col min="5" max="14" width="12" style="11" customWidth="1"/>
    <col min="15" max="16" width="16" style="11" customWidth="1"/>
    <col min="17" max="17" width="28" style="11" customWidth="1"/>
    <col min="18" max="16384" width="8.7109375" style="11"/>
  </cols>
  <sheetData>
    <row r="1" spans="1:17" customFormat="1" ht="22.5" x14ac:dyDescent="0.25">
      <c r="A1" s="118" t="s">
        <v>129</v>
      </c>
      <c r="B1" s="119"/>
      <c r="C1" s="119"/>
      <c r="D1" s="119"/>
      <c r="E1" s="119"/>
      <c r="F1" s="119"/>
      <c r="G1" s="119"/>
      <c r="H1" s="11"/>
      <c r="I1" s="22"/>
    </row>
    <row r="2" spans="1:17" customFormat="1" ht="19.5" x14ac:dyDescent="0.4">
      <c r="A2" s="116" t="s">
        <v>130</v>
      </c>
      <c r="B2" s="117"/>
      <c r="C2" s="117"/>
      <c r="D2" s="117"/>
      <c r="E2" s="117"/>
      <c r="F2" s="117"/>
      <c r="G2" s="117"/>
      <c r="H2" s="11"/>
      <c r="I2" s="22"/>
    </row>
    <row r="3" spans="1:17" customFormat="1" ht="8.4499999999999993" customHeight="1" thickBot="1" x14ac:dyDescent="0.3">
      <c r="H3" s="11"/>
      <c r="I3" s="22"/>
    </row>
    <row r="4" spans="1:17" ht="15" customHeight="1" thickBot="1" x14ac:dyDescent="0.3">
      <c r="A4" s="123" t="s">
        <v>131</v>
      </c>
      <c r="B4" s="123"/>
      <c r="C4" s="123"/>
      <c r="D4" s="123"/>
    </row>
    <row r="5" spans="1:17" ht="23.85" customHeight="1" x14ac:dyDescent="0.25">
      <c r="A5" s="124" t="s">
        <v>132</v>
      </c>
      <c r="B5" s="124"/>
      <c r="C5" s="124"/>
      <c r="D5" s="124"/>
    </row>
    <row r="7" spans="1:17" x14ac:dyDescent="0.25">
      <c r="A7" s="12" t="s">
        <v>133</v>
      </c>
      <c r="B7" s="12" t="s">
        <v>134</v>
      </c>
      <c r="C7" s="12" t="s">
        <v>135</v>
      </c>
      <c r="D7" s="12" t="s">
        <v>136</v>
      </c>
      <c r="E7" s="12"/>
      <c r="F7" s="12"/>
      <c r="G7" s="12"/>
      <c r="H7" s="12"/>
      <c r="I7" s="12"/>
      <c r="J7" s="12"/>
      <c r="K7" s="12"/>
      <c r="L7" s="12"/>
      <c r="M7" s="12"/>
      <c r="N7" s="12"/>
      <c r="O7" s="12"/>
      <c r="P7" s="12"/>
      <c r="Q7" s="12"/>
    </row>
    <row r="8" spans="1:17" x14ac:dyDescent="0.25">
      <c r="A8" s="23" t="s">
        <v>137</v>
      </c>
      <c r="B8" s="24">
        <v>30</v>
      </c>
      <c r="C8" s="24" t="s">
        <v>138</v>
      </c>
      <c r="D8" s="23" t="s">
        <v>139</v>
      </c>
    </row>
    <row r="9" spans="1:17" x14ac:dyDescent="0.25">
      <c r="A9" s="23" t="s">
        <v>140</v>
      </c>
      <c r="B9" s="24">
        <v>265</v>
      </c>
      <c r="C9" s="24" t="s">
        <v>141</v>
      </c>
      <c r="D9" s="23" t="s">
        <v>142</v>
      </c>
    </row>
    <row r="10" spans="1:17" x14ac:dyDescent="0.25">
      <c r="A10" s="23" t="s">
        <v>143</v>
      </c>
      <c r="B10" s="24">
        <v>1055.05585</v>
      </c>
      <c r="C10" s="24" t="s">
        <v>144</v>
      </c>
      <c r="D10" s="23" t="s">
        <v>145</v>
      </c>
    </row>
    <row r="11" spans="1:17" x14ac:dyDescent="0.25">
      <c r="A11" s="23" t="s">
        <v>146</v>
      </c>
      <c r="B11" s="24">
        <v>3.6</v>
      </c>
      <c r="C11" s="24" t="s">
        <v>147</v>
      </c>
      <c r="D11" s="23" t="s">
        <v>145</v>
      </c>
    </row>
    <row r="12" spans="1:17" ht="60" x14ac:dyDescent="0.25">
      <c r="A12" s="23" t="s">
        <v>148</v>
      </c>
      <c r="B12" s="24">
        <v>4.8637978879840102E-2</v>
      </c>
      <c r="C12" s="24" t="s">
        <v>149</v>
      </c>
      <c r="D12" s="23" t="s">
        <v>150</v>
      </c>
    </row>
    <row r="17" spans="1:17" ht="25.5" x14ac:dyDescent="0.25">
      <c r="A17" s="12" t="s">
        <v>151</v>
      </c>
      <c r="B17" s="12" t="s">
        <v>85</v>
      </c>
      <c r="C17" s="12" t="s">
        <v>86</v>
      </c>
      <c r="D17" s="12" t="s">
        <v>136</v>
      </c>
      <c r="E17" s="12" t="s">
        <v>152</v>
      </c>
      <c r="F17" s="12" t="s">
        <v>153</v>
      </c>
      <c r="G17" s="12" t="s">
        <v>154</v>
      </c>
      <c r="H17" s="12" t="s">
        <v>155</v>
      </c>
      <c r="I17" s="12" t="s">
        <v>156</v>
      </c>
      <c r="J17" s="12" t="s">
        <v>157</v>
      </c>
      <c r="K17" s="12" t="s">
        <v>158</v>
      </c>
      <c r="L17" s="12" t="s">
        <v>159</v>
      </c>
      <c r="M17" s="12" t="s">
        <v>160</v>
      </c>
      <c r="N17" s="12" t="s">
        <v>161</v>
      </c>
      <c r="O17" s="12" t="s">
        <v>162</v>
      </c>
      <c r="P17" s="12" t="s">
        <v>163</v>
      </c>
      <c r="Q17" s="12" t="s">
        <v>164</v>
      </c>
    </row>
    <row r="18" spans="1:17" ht="30" x14ac:dyDescent="0.25">
      <c r="A18" s="25" t="s">
        <v>89</v>
      </c>
      <c r="B18" s="26">
        <v>9928.3991059899909</v>
      </c>
      <c r="C18" s="26">
        <f>C23</f>
        <v>450.71116947946899</v>
      </c>
      <c r="D18" s="25" t="s">
        <v>165</v>
      </c>
      <c r="E18" s="27">
        <v>0</v>
      </c>
      <c r="F18" s="27">
        <v>0</v>
      </c>
      <c r="G18" s="27">
        <v>0.12</v>
      </c>
      <c r="H18" s="27">
        <v>0</v>
      </c>
      <c r="I18" s="27">
        <v>0.88</v>
      </c>
      <c r="J18" s="28">
        <f>J23</f>
        <v>5.7409736742E-5</v>
      </c>
      <c r="K18" s="28">
        <f>K23</f>
        <v>2.4573027885500001E-4</v>
      </c>
      <c r="L18" s="28">
        <f t="shared" ref="L18:N18" si="0">L23</f>
        <v>7.6610481222800001E-4</v>
      </c>
      <c r="M18" s="28">
        <f t="shared" si="0"/>
        <v>9.1658514906600003E-4</v>
      </c>
      <c r="N18" s="28">
        <f t="shared" si="0"/>
        <v>0.99801417002310899</v>
      </c>
      <c r="O18" s="29">
        <f>ROUND(SUM(E18:I18),6)</f>
        <v>1</v>
      </c>
      <c r="P18" s="29">
        <f t="shared" ref="P18:P33" si="1">ROUND(SUM(J18:N18),6)</f>
        <v>1</v>
      </c>
      <c r="Q18" s="30" t="str">
        <f t="shared" ref="Q18:Q33" si="2">IF(AND(O18=0,P18=0),"Renewable zero row",IF(AND(ABS(O18-1)&lt;=0.000001,ABS(P18-1)&lt;=0.000001),"Proxy shares sum to 1","Review proxy shares"))</f>
        <v>Proxy shares sum to 1</v>
      </c>
    </row>
    <row r="19" spans="1:17" ht="30" x14ac:dyDescent="0.25">
      <c r="A19" s="25" t="s">
        <v>90</v>
      </c>
      <c r="B19" s="26">
        <v>9928.3991059899799</v>
      </c>
      <c r="C19" s="26">
        <v>17.932009482742899</v>
      </c>
      <c r="D19" s="25" t="s">
        <v>166</v>
      </c>
      <c r="E19" s="27">
        <v>8.2530994891800004E-4</v>
      </c>
      <c r="F19" s="27">
        <v>3.2532591068699999E-3</v>
      </c>
      <c r="G19" s="27">
        <v>3.3592974508478E-2</v>
      </c>
      <c r="H19" s="27">
        <v>2.8390735118010001E-3</v>
      </c>
      <c r="I19" s="27">
        <v>0.95948938292393204</v>
      </c>
      <c r="J19" s="27">
        <v>0</v>
      </c>
      <c r="K19" s="27">
        <v>0.08</v>
      </c>
      <c r="L19" s="27">
        <v>0.02</v>
      </c>
      <c r="M19" s="27">
        <v>0</v>
      </c>
      <c r="N19" s="27">
        <v>0.9</v>
      </c>
      <c r="O19" s="29">
        <f t="shared" ref="O19:O33" si="3">ROUND(SUM(E19:I19),6)</f>
        <v>1</v>
      </c>
      <c r="P19" s="29">
        <f t="shared" si="1"/>
        <v>1</v>
      </c>
      <c r="Q19" s="30" t="str">
        <f t="shared" si="2"/>
        <v>Proxy shares sum to 1</v>
      </c>
    </row>
    <row r="20" spans="1:17" ht="30" x14ac:dyDescent="0.25">
      <c r="A20" s="25" t="s">
        <v>91</v>
      </c>
      <c r="B20" s="26">
        <v>18654.296479506698</v>
      </c>
      <c r="C20" s="26">
        <v>1048.9809462481601</v>
      </c>
      <c r="D20" s="25" t="s">
        <v>167</v>
      </c>
      <c r="E20" s="27">
        <v>3.746347935601E-3</v>
      </c>
      <c r="F20" s="27">
        <v>4.74135327849E-4</v>
      </c>
      <c r="G20" s="27">
        <v>0.72307908817661304</v>
      </c>
      <c r="H20" s="27">
        <v>1.407107780856E-3</v>
      </c>
      <c r="I20" s="27">
        <v>0.27129332077908103</v>
      </c>
      <c r="J20" s="27">
        <v>4.1721199910000001E-5</v>
      </c>
      <c r="K20" s="27">
        <v>4.6728239191400002E-4</v>
      </c>
      <c r="L20" s="27">
        <v>4.7380862141389998E-3</v>
      </c>
      <c r="M20" s="27">
        <v>6.087059040185E-3</v>
      </c>
      <c r="N20" s="27">
        <v>0.98866585115385297</v>
      </c>
      <c r="O20" s="29">
        <f t="shared" si="3"/>
        <v>1</v>
      </c>
      <c r="P20" s="29">
        <f t="shared" si="1"/>
        <v>1</v>
      </c>
      <c r="Q20" s="30" t="str">
        <f t="shared" si="2"/>
        <v>Proxy shares sum to 1</v>
      </c>
    </row>
    <row r="21" spans="1:17" ht="30" x14ac:dyDescent="0.25">
      <c r="A21" s="25" t="s">
        <v>92</v>
      </c>
      <c r="B21" s="26">
        <v>0</v>
      </c>
      <c r="C21" s="26">
        <v>0</v>
      </c>
      <c r="D21" s="25" t="s">
        <v>168</v>
      </c>
      <c r="E21" s="27">
        <v>0</v>
      </c>
      <c r="F21" s="27">
        <v>0</v>
      </c>
      <c r="G21" s="27">
        <v>0</v>
      </c>
      <c r="H21" s="27">
        <v>0</v>
      </c>
      <c r="I21" s="27">
        <v>1</v>
      </c>
      <c r="J21" s="27">
        <v>0</v>
      </c>
      <c r="K21" s="27">
        <v>0</v>
      </c>
      <c r="L21" s="27">
        <v>0</v>
      </c>
      <c r="M21" s="27">
        <v>0</v>
      </c>
      <c r="N21" s="27">
        <v>1</v>
      </c>
      <c r="O21" s="29">
        <f t="shared" si="3"/>
        <v>1</v>
      </c>
      <c r="P21" s="29">
        <f t="shared" si="1"/>
        <v>1</v>
      </c>
      <c r="Q21" s="30" t="str">
        <f t="shared" si="2"/>
        <v>Proxy shares sum to 1</v>
      </c>
    </row>
    <row r="22" spans="1:17" ht="30" x14ac:dyDescent="0.25">
      <c r="A22" s="25" t="s">
        <v>93</v>
      </c>
      <c r="B22" s="26">
        <v>0</v>
      </c>
      <c r="C22" s="26">
        <v>0</v>
      </c>
      <c r="D22" s="25" t="s">
        <v>168</v>
      </c>
      <c r="E22" s="27">
        <v>0</v>
      </c>
      <c r="F22" s="27">
        <v>0</v>
      </c>
      <c r="G22" s="27">
        <v>0</v>
      </c>
      <c r="H22" s="27">
        <v>0</v>
      </c>
      <c r="I22" s="27">
        <v>1</v>
      </c>
      <c r="J22" s="27">
        <v>0</v>
      </c>
      <c r="K22" s="27">
        <v>0</v>
      </c>
      <c r="L22" s="27">
        <v>0</v>
      </c>
      <c r="M22" s="27">
        <v>0</v>
      </c>
      <c r="N22" s="27">
        <v>1</v>
      </c>
      <c r="O22" s="29">
        <f t="shared" si="3"/>
        <v>1</v>
      </c>
      <c r="P22" s="29">
        <f t="shared" si="1"/>
        <v>1</v>
      </c>
      <c r="Q22" s="30" t="str">
        <f t="shared" si="2"/>
        <v>Proxy shares sum to 1</v>
      </c>
    </row>
    <row r="23" spans="1:17" ht="30" x14ac:dyDescent="0.25">
      <c r="A23" s="25" t="s">
        <v>94</v>
      </c>
      <c r="B23" s="26">
        <v>25095.498121135701</v>
      </c>
      <c r="C23" s="26">
        <v>450.71116947946899</v>
      </c>
      <c r="D23" s="25" t="s">
        <v>169</v>
      </c>
      <c r="E23" s="27">
        <v>2.5772706500340001E-3</v>
      </c>
      <c r="F23" s="27">
        <v>3.615821755325E-3</v>
      </c>
      <c r="G23" s="27">
        <v>0.45972745468559201</v>
      </c>
      <c r="H23" s="27">
        <v>1.8620658297698E-2</v>
      </c>
      <c r="I23" s="27">
        <v>0.51545879461135102</v>
      </c>
      <c r="J23" s="27">
        <v>5.7409736742E-5</v>
      </c>
      <c r="K23" s="27">
        <v>2.4573027885500001E-4</v>
      </c>
      <c r="L23" s="27">
        <v>7.6610481222800001E-4</v>
      </c>
      <c r="M23" s="27">
        <v>9.1658514906600003E-4</v>
      </c>
      <c r="N23" s="27">
        <v>0.99801417002310899</v>
      </c>
      <c r="O23" s="29">
        <f t="shared" si="3"/>
        <v>1</v>
      </c>
      <c r="P23" s="29">
        <f t="shared" si="1"/>
        <v>1</v>
      </c>
      <c r="Q23" s="30" t="str">
        <f t="shared" si="2"/>
        <v>Proxy shares sum to 1</v>
      </c>
    </row>
    <row r="24" spans="1:17" ht="30" x14ac:dyDescent="0.25">
      <c r="A24" s="25" t="s">
        <v>95</v>
      </c>
      <c r="B24" s="26">
        <v>820.05998135996003</v>
      </c>
      <c r="C24" s="26">
        <v>0</v>
      </c>
      <c r="D24" s="25" t="s">
        <v>170</v>
      </c>
      <c r="E24" s="27">
        <v>5.1101258168700003E-4</v>
      </c>
      <c r="F24" s="27">
        <v>1.265134238259E-3</v>
      </c>
      <c r="G24" s="27">
        <v>5.6069818271382001E-2</v>
      </c>
      <c r="H24" s="27">
        <v>2.0020344119059001E-2</v>
      </c>
      <c r="I24" s="27">
        <v>0.92213369078961305</v>
      </c>
      <c r="J24" s="27">
        <v>0</v>
      </c>
      <c r="K24" s="27">
        <v>0</v>
      </c>
      <c r="L24" s="27">
        <v>0</v>
      </c>
      <c r="M24" s="27">
        <v>0</v>
      </c>
      <c r="N24" s="27">
        <v>1</v>
      </c>
      <c r="O24" s="29">
        <f t="shared" si="3"/>
        <v>1</v>
      </c>
      <c r="P24" s="29">
        <f t="shared" si="1"/>
        <v>1</v>
      </c>
      <c r="Q24" s="30" t="str">
        <f t="shared" si="2"/>
        <v>Proxy shares sum to 1</v>
      </c>
    </row>
    <row r="25" spans="1:17" x14ac:dyDescent="0.25">
      <c r="A25" s="25" t="s">
        <v>96</v>
      </c>
      <c r="B25" s="26">
        <v>9928.3991059899909</v>
      </c>
      <c r="C25" s="26">
        <v>17.932009482742899</v>
      </c>
      <c r="D25" s="25"/>
      <c r="E25" s="27">
        <v>0</v>
      </c>
      <c r="F25" s="27">
        <v>0</v>
      </c>
      <c r="G25" s="27">
        <v>0.1</v>
      </c>
      <c r="H25" s="27">
        <v>0</v>
      </c>
      <c r="I25" s="27">
        <v>0.9</v>
      </c>
      <c r="J25" s="27">
        <v>0</v>
      </c>
      <c r="K25" s="27">
        <v>0.08</v>
      </c>
      <c r="L25" s="27">
        <v>0.02</v>
      </c>
      <c r="M25" s="27">
        <v>0</v>
      </c>
      <c r="N25" s="27">
        <v>0.9</v>
      </c>
      <c r="O25" s="29">
        <f t="shared" si="3"/>
        <v>1</v>
      </c>
      <c r="P25" s="29">
        <f t="shared" si="1"/>
        <v>1</v>
      </c>
      <c r="Q25" s="30" t="str">
        <f t="shared" si="2"/>
        <v>Proxy shares sum to 1</v>
      </c>
    </row>
    <row r="26" spans="1:17" ht="30" x14ac:dyDescent="0.25">
      <c r="A26" s="25" t="s">
        <v>97</v>
      </c>
      <c r="B26" s="26">
        <v>0</v>
      </c>
      <c r="C26" s="26">
        <v>1.69906453637229</v>
      </c>
      <c r="D26" s="25" t="s">
        <v>171</v>
      </c>
      <c r="E26" s="27">
        <v>0</v>
      </c>
      <c r="F26" s="27">
        <v>0</v>
      </c>
      <c r="G26" s="27">
        <v>0</v>
      </c>
      <c r="H26" s="27">
        <v>0</v>
      </c>
      <c r="I26" s="27">
        <v>1</v>
      </c>
      <c r="J26" s="27">
        <v>0</v>
      </c>
      <c r="K26" s="27">
        <v>0</v>
      </c>
      <c r="L26" s="27">
        <v>0</v>
      </c>
      <c r="M26" s="27">
        <v>0</v>
      </c>
      <c r="N26" s="27">
        <v>1</v>
      </c>
      <c r="O26" s="29">
        <f t="shared" si="3"/>
        <v>1</v>
      </c>
      <c r="P26" s="29">
        <f t="shared" si="1"/>
        <v>1</v>
      </c>
      <c r="Q26" s="30" t="str">
        <f t="shared" si="2"/>
        <v>Proxy shares sum to 1</v>
      </c>
    </row>
    <row r="27" spans="1:17" ht="30" x14ac:dyDescent="0.25">
      <c r="A27" s="25" t="s">
        <v>98</v>
      </c>
      <c r="B27" s="26">
        <v>56191.419446260697</v>
      </c>
      <c r="C27" s="26">
        <v>959.27732623076599</v>
      </c>
      <c r="D27" s="25" t="s">
        <v>172</v>
      </c>
      <c r="E27" s="27">
        <v>1.0986371349710001E-3</v>
      </c>
      <c r="F27" s="27">
        <v>9.7151325420100001E-4</v>
      </c>
      <c r="G27" s="27">
        <v>0.17652186319451399</v>
      </c>
      <c r="H27" s="27">
        <v>2.5262316634890002E-3</v>
      </c>
      <c r="I27" s="27">
        <v>0.81888175475282499</v>
      </c>
      <c r="J27" s="27">
        <v>3.11580592198E-4</v>
      </c>
      <c r="K27" s="27">
        <v>8.7413055357800004E-4</v>
      </c>
      <c r="L27" s="27">
        <v>1.177725851552E-3</v>
      </c>
      <c r="M27" s="27">
        <v>3.679964642789E-3</v>
      </c>
      <c r="N27" s="27">
        <v>0.99395659835988304</v>
      </c>
      <c r="O27" s="29">
        <f t="shared" si="3"/>
        <v>1</v>
      </c>
      <c r="P27" s="29">
        <f t="shared" si="1"/>
        <v>1</v>
      </c>
      <c r="Q27" s="30" t="str">
        <f t="shared" si="2"/>
        <v>Proxy shares sum to 1</v>
      </c>
    </row>
    <row r="28" spans="1:17" ht="30" x14ac:dyDescent="0.25">
      <c r="A28" s="25" t="s">
        <v>99</v>
      </c>
      <c r="B28" s="26">
        <v>0</v>
      </c>
      <c r="C28" s="26">
        <v>0</v>
      </c>
      <c r="D28" s="25" t="s">
        <v>168</v>
      </c>
      <c r="E28" s="27">
        <v>0</v>
      </c>
      <c r="F28" s="27">
        <v>0</v>
      </c>
      <c r="G28" s="27">
        <v>0</v>
      </c>
      <c r="H28" s="27">
        <v>0</v>
      </c>
      <c r="I28" s="27">
        <v>1</v>
      </c>
      <c r="J28" s="27">
        <v>0</v>
      </c>
      <c r="K28" s="27">
        <v>0</v>
      </c>
      <c r="L28" s="27">
        <v>0</v>
      </c>
      <c r="M28" s="27">
        <v>0</v>
      </c>
      <c r="N28" s="27">
        <v>1</v>
      </c>
      <c r="O28" s="29">
        <f t="shared" si="3"/>
        <v>1</v>
      </c>
      <c r="P28" s="29">
        <f t="shared" si="1"/>
        <v>1</v>
      </c>
      <c r="Q28" s="30" t="str">
        <f t="shared" si="2"/>
        <v>Proxy shares sum to 1</v>
      </c>
    </row>
    <row r="29" spans="1:17" ht="30" x14ac:dyDescent="0.25">
      <c r="A29" s="25" t="s">
        <v>100</v>
      </c>
      <c r="B29" s="26">
        <f>AVERAGE(B19,B20,B23,B24,B26,B27)</f>
        <v>18448.278855708839</v>
      </c>
      <c r="C29" s="26">
        <f>AVERAGE(C19,C20,C23,C24,C26,C27)</f>
        <v>413.10008599625172</v>
      </c>
      <c r="D29" s="25" t="s">
        <v>173</v>
      </c>
      <c r="E29" s="28">
        <f>AVERAGE(E19,E20,E23,E24,E26,E27)</f>
        <v>1.4597630418685E-3</v>
      </c>
      <c r="F29" s="28">
        <f t="shared" ref="F29:N29" si="4">AVERAGE(F19,F20,F23,F24,F26,F27)</f>
        <v>1.596643947084E-3</v>
      </c>
      <c r="G29" s="28">
        <f t="shared" si="4"/>
        <v>0.24149853313942982</v>
      </c>
      <c r="H29" s="28">
        <f t="shared" si="4"/>
        <v>7.5689025621504995E-3</v>
      </c>
      <c r="I29" s="28">
        <f t="shared" si="4"/>
        <v>0.74787615730946699</v>
      </c>
      <c r="J29" s="28">
        <f t="shared" si="4"/>
        <v>6.8451921474999995E-5</v>
      </c>
      <c r="K29" s="28">
        <f t="shared" si="4"/>
        <v>1.3597857204057833E-2</v>
      </c>
      <c r="L29" s="28">
        <f t="shared" si="4"/>
        <v>4.4469861463198338E-3</v>
      </c>
      <c r="M29" s="28">
        <f t="shared" si="4"/>
        <v>1.7806014720066668E-3</v>
      </c>
      <c r="N29" s="28">
        <f t="shared" si="4"/>
        <v>0.980106103256141</v>
      </c>
      <c r="O29" s="29">
        <f t="shared" si="3"/>
        <v>1</v>
      </c>
      <c r="P29" s="29">
        <f t="shared" si="1"/>
        <v>1</v>
      </c>
      <c r="Q29" s="30" t="str">
        <f t="shared" si="2"/>
        <v>Proxy shares sum to 1</v>
      </c>
    </row>
    <row r="30" spans="1:17" x14ac:dyDescent="0.25">
      <c r="A30" s="25" t="s">
        <v>101</v>
      </c>
      <c r="B30" s="26">
        <f>AVERAGE(B19,B26,B27)</f>
        <v>22039.939517416893</v>
      </c>
      <c r="C30" s="26">
        <f>AVERAGE(C19,C26,C27)</f>
        <v>326.30280008329373</v>
      </c>
      <c r="D30" s="25"/>
      <c r="E30" s="27">
        <f t="shared" ref="E30:N30" si="5">AVERAGE(E19,E26,E27)</f>
        <v>6.4131569462966666E-4</v>
      </c>
      <c r="F30" s="27">
        <f t="shared" si="5"/>
        <v>1.4082574536903333E-3</v>
      </c>
      <c r="G30" s="27">
        <f t="shared" si="5"/>
        <v>7.0038279234330661E-2</v>
      </c>
      <c r="H30" s="27">
        <f t="shared" si="5"/>
        <v>1.7884350584300001E-3</v>
      </c>
      <c r="I30" s="27">
        <f t="shared" si="5"/>
        <v>0.92612371255891901</v>
      </c>
      <c r="J30" s="27">
        <f t="shared" si="5"/>
        <v>1.0386019739933333E-4</v>
      </c>
      <c r="K30" s="27">
        <f t="shared" si="5"/>
        <v>2.6958043517859336E-2</v>
      </c>
      <c r="L30" s="27">
        <f t="shared" si="5"/>
        <v>7.0592419505173332E-3</v>
      </c>
      <c r="M30" s="27">
        <f t="shared" si="5"/>
        <v>1.2266548809296667E-3</v>
      </c>
      <c r="N30" s="27">
        <f t="shared" si="5"/>
        <v>0.96465219945329428</v>
      </c>
      <c r="O30" s="29">
        <f t="shared" si="3"/>
        <v>1</v>
      </c>
      <c r="P30" s="29">
        <f t="shared" si="1"/>
        <v>1</v>
      </c>
      <c r="Q30" s="30" t="str">
        <f t="shared" si="2"/>
        <v>Proxy shares sum to 1</v>
      </c>
    </row>
    <row r="31" spans="1:17" ht="30" x14ac:dyDescent="0.25">
      <c r="A31" s="25" t="s">
        <v>102</v>
      </c>
      <c r="B31" s="26">
        <v>0</v>
      </c>
      <c r="C31" s="26">
        <v>0</v>
      </c>
      <c r="D31" s="25" t="s">
        <v>168</v>
      </c>
      <c r="E31" s="27">
        <v>0</v>
      </c>
      <c r="F31" s="27">
        <v>0</v>
      </c>
      <c r="G31" s="27">
        <v>0</v>
      </c>
      <c r="H31" s="27">
        <v>0</v>
      </c>
      <c r="I31" s="27">
        <v>1</v>
      </c>
      <c r="J31" s="27">
        <v>0</v>
      </c>
      <c r="K31" s="27">
        <v>0</v>
      </c>
      <c r="L31" s="27">
        <v>0</v>
      </c>
      <c r="M31" s="27">
        <v>0</v>
      </c>
      <c r="N31" s="27">
        <v>1</v>
      </c>
      <c r="O31" s="29">
        <f t="shared" si="3"/>
        <v>1</v>
      </c>
      <c r="P31" s="29">
        <f t="shared" si="1"/>
        <v>1</v>
      </c>
      <c r="Q31" s="30" t="str">
        <f t="shared" si="2"/>
        <v>Proxy shares sum to 1</v>
      </c>
    </row>
    <row r="32" spans="1:17" ht="30" x14ac:dyDescent="0.25">
      <c r="A32" s="25" t="s">
        <v>103</v>
      </c>
      <c r="B32" s="26">
        <f>B29</f>
        <v>18448.278855708839</v>
      </c>
      <c r="C32" s="26">
        <f>C29</f>
        <v>413.10008599625172</v>
      </c>
      <c r="D32" s="25" t="s">
        <v>174</v>
      </c>
      <c r="E32" s="28">
        <f>E29</f>
        <v>1.4597630418685E-3</v>
      </c>
      <c r="F32" s="28">
        <f t="shared" ref="F32:N32" si="6">F29</f>
        <v>1.596643947084E-3</v>
      </c>
      <c r="G32" s="28">
        <f t="shared" si="6"/>
        <v>0.24149853313942982</v>
      </c>
      <c r="H32" s="28">
        <f t="shared" si="6"/>
        <v>7.5689025621504995E-3</v>
      </c>
      <c r="I32" s="28">
        <f t="shared" si="6"/>
        <v>0.74787615730946699</v>
      </c>
      <c r="J32" s="28">
        <f t="shared" si="6"/>
        <v>6.8451921474999995E-5</v>
      </c>
      <c r="K32" s="28">
        <f t="shared" si="6"/>
        <v>1.3597857204057833E-2</v>
      </c>
      <c r="L32" s="28">
        <f t="shared" si="6"/>
        <v>4.4469861463198338E-3</v>
      </c>
      <c r="M32" s="28">
        <f t="shared" si="6"/>
        <v>1.7806014720066668E-3</v>
      </c>
      <c r="N32" s="28">
        <f t="shared" si="6"/>
        <v>0.980106103256141</v>
      </c>
      <c r="O32" s="29">
        <f t="shared" si="3"/>
        <v>1</v>
      </c>
      <c r="P32" s="29">
        <f t="shared" si="1"/>
        <v>1</v>
      </c>
      <c r="Q32" s="30" t="str">
        <f t="shared" si="2"/>
        <v>Proxy shares sum to 1</v>
      </c>
    </row>
    <row r="33" spans="1:17" ht="45" x14ac:dyDescent="0.25">
      <c r="A33" s="25" t="s">
        <v>104</v>
      </c>
      <c r="B33" s="26">
        <f>B29</f>
        <v>18448.278855708839</v>
      </c>
      <c r="C33" s="26">
        <f>C29</f>
        <v>413.10008599625172</v>
      </c>
      <c r="D33" s="25" t="s">
        <v>175</v>
      </c>
      <c r="E33" s="28">
        <f t="shared" ref="E33:N33" si="7">E29</f>
        <v>1.4597630418685E-3</v>
      </c>
      <c r="F33" s="28">
        <f t="shared" si="7"/>
        <v>1.596643947084E-3</v>
      </c>
      <c r="G33" s="28">
        <f t="shared" si="7"/>
        <v>0.24149853313942982</v>
      </c>
      <c r="H33" s="28">
        <f t="shared" si="7"/>
        <v>7.5689025621504995E-3</v>
      </c>
      <c r="I33" s="28">
        <f t="shared" si="7"/>
        <v>0.74787615730946699</v>
      </c>
      <c r="J33" s="28">
        <f t="shared" si="7"/>
        <v>6.8451921474999995E-5</v>
      </c>
      <c r="K33" s="28">
        <f t="shared" si="7"/>
        <v>1.3597857204057833E-2</v>
      </c>
      <c r="L33" s="28">
        <f t="shared" si="7"/>
        <v>4.4469861463198338E-3</v>
      </c>
      <c r="M33" s="28">
        <f t="shared" si="7"/>
        <v>1.7806014720066668E-3</v>
      </c>
      <c r="N33" s="28">
        <f t="shared" si="7"/>
        <v>0.980106103256141</v>
      </c>
      <c r="O33" s="29">
        <f t="shared" si="3"/>
        <v>1</v>
      </c>
      <c r="P33" s="29">
        <f t="shared" si="1"/>
        <v>1</v>
      </c>
      <c r="Q33" s="30" t="str">
        <f t="shared" si="2"/>
        <v>Proxy shares sum to 1</v>
      </c>
    </row>
  </sheetData>
  <sheetProtection algorithmName="SHA-512" hashValue="E1cn4lBLA+nz6BDJgUWlusS8mHG/GISTdFG9XvxlJwqW7dlI7TVg+5SeROGNroMjXGzFuUJmCDfMSrpKJccY9Q==" saltValue="teh6r41JdqtE9HTvOd3gqg==" spinCount="100000" sheet="1"/>
  <mergeCells count="4">
    <mergeCell ref="A4:D4"/>
    <mergeCell ref="A5:D5"/>
    <mergeCell ref="A1:G1"/>
    <mergeCell ref="A2:G2"/>
  </mergeCells>
  <pageMargins left="0.75" right="0.75" top="1" bottom="1" header="0.511811023622047" footer="0.511811023622047"/>
  <pageSetup paperSize="9" orientation="portrait" horizontalDpi="300" verticalDpi="300"/>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1F9C5-C279-4C5F-B88D-AD85816EB9FB}">
  <sheetPr>
    <tabColor rgb="FFF4F1E2"/>
  </sheetPr>
  <dimension ref="A1:Q34"/>
  <sheetViews>
    <sheetView zoomScale="120" zoomScaleNormal="120" workbookViewId="0">
      <selection sqref="A1:P1"/>
    </sheetView>
  </sheetViews>
  <sheetFormatPr defaultRowHeight="15" x14ac:dyDescent="0.25"/>
  <cols>
    <col min="1" max="1" width="23.7109375" customWidth="1"/>
    <col min="2" max="2" width="8.85546875" bestFit="1" customWidth="1"/>
    <col min="3" max="3" width="8.7109375" bestFit="1" customWidth="1"/>
    <col min="6" max="6" width="8.28515625" bestFit="1" customWidth="1"/>
    <col min="8" max="15" width="7.140625" bestFit="1" customWidth="1"/>
    <col min="16" max="16" width="24.28515625" bestFit="1" customWidth="1"/>
  </cols>
  <sheetData>
    <row r="1" spans="1:16" ht="22.5" x14ac:dyDescent="0.25">
      <c r="A1" s="118" t="s">
        <v>176</v>
      </c>
      <c r="B1" s="119"/>
      <c r="C1" s="119"/>
      <c r="D1" s="119"/>
      <c r="E1" s="119"/>
      <c r="F1" s="119"/>
      <c r="G1" s="119"/>
      <c r="H1" s="119"/>
      <c r="I1" s="119"/>
      <c r="J1" s="119"/>
      <c r="K1" s="119"/>
      <c r="L1" s="119"/>
      <c r="M1" s="119"/>
      <c r="N1" s="119"/>
      <c r="O1" s="119"/>
      <c r="P1" s="119"/>
    </row>
    <row r="2" spans="1:16" ht="19.5" x14ac:dyDescent="0.4">
      <c r="A2" s="116" t="s">
        <v>177</v>
      </c>
      <c r="B2" s="117"/>
      <c r="C2" s="117"/>
      <c r="D2" s="117"/>
      <c r="E2" s="117"/>
      <c r="F2" s="117"/>
      <c r="G2" s="117"/>
      <c r="H2" s="117"/>
      <c r="I2" s="117"/>
      <c r="J2" s="117"/>
      <c r="K2" s="117"/>
      <c r="L2" s="117"/>
      <c r="M2" s="117"/>
      <c r="N2" s="117"/>
      <c r="O2" s="117"/>
      <c r="P2" s="117"/>
    </row>
    <row r="3" spans="1:16" ht="8.4499999999999993" customHeight="1" x14ac:dyDescent="0.25">
      <c r="H3" s="11"/>
      <c r="I3" s="22"/>
    </row>
    <row r="5" spans="1:16" x14ac:dyDescent="0.25">
      <c r="A5" s="6" t="s">
        <v>178</v>
      </c>
      <c r="B5" s="6">
        <v>2026</v>
      </c>
      <c r="C5" s="6">
        <f>B5+1</f>
        <v>2027</v>
      </c>
      <c r="D5" s="6">
        <f t="shared" ref="D5:L5" si="0">C5+1</f>
        <v>2028</v>
      </c>
      <c r="E5" s="6">
        <f t="shared" si="0"/>
        <v>2029</v>
      </c>
      <c r="F5" s="6">
        <f t="shared" si="0"/>
        <v>2030</v>
      </c>
      <c r="G5" s="6">
        <f t="shared" si="0"/>
        <v>2031</v>
      </c>
      <c r="H5" s="6">
        <f t="shared" si="0"/>
        <v>2032</v>
      </c>
      <c r="I5" s="6">
        <f t="shared" si="0"/>
        <v>2033</v>
      </c>
      <c r="J5" s="6">
        <f t="shared" si="0"/>
        <v>2034</v>
      </c>
      <c r="K5" s="6">
        <f t="shared" si="0"/>
        <v>2035</v>
      </c>
      <c r="L5" s="6">
        <f t="shared" si="0"/>
        <v>2036</v>
      </c>
      <c r="M5" s="6">
        <v>2037</v>
      </c>
      <c r="N5" s="6">
        <v>2038</v>
      </c>
      <c r="O5" s="6">
        <v>2039</v>
      </c>
      <c r="P5" s="6" t="s">
        <v>72</v>
      </c>
    </row>
    <row r="6" spans="1:16" x14ac:dyDescent="0.25">
      <c r="A6" s="4" t="s">
        <v>46</v>
      </c>
      <c r="B6" s="34">
        <v>113.47</v>
      </c>
      <c r="C6" s="34">
        <v>98.43</v>
      </c>
      <c r="D6" s="34">
        <v>95.17</v>
      </c>
      <c r="E6" s="34">
        <v>83.96</v>
      </c>
      <c r="F6" s="34">
        <v>73.489999999999995</v>
      </c>
      <c r="G6" s="34">
        <v>64.42</v>
      </c>
      <c r="H6" s="34">
        <v>51.63</v>
      </c>
      <c r="I6" s="34">
        <v>42.06</v>
      </c>
      <c r="J6" s="34">
        <v>42.15</v>
      </c>
      <c r="K6" s="34">
        <v>42.39</v>
      </c>
      <c r="L6" s="34">
        <v>0</v>
      </c>
      <c r="M6" s="34">
        <v>0</v>
      </c>
      <c r="N6" s="34">
        <v>0</v>
      </c>
      <c r="O6" s="34">
        <v>0</v>
      </c>
      <c r="P6" s="34">
        <v>0</v>
      </c>
    </row>
    <row r="7" spans="1:16" x14ac:dyDescent="0.25">
      <c r="A7" s="4" t="s">
        <v>179</v>
      </c>
      <c r="B7" s="34">
        <v>91.27</v>
      </c>
      <c r="C7" s="34">
        <v>69.12</v>
      </c>
      <c r="D7" s="34">
        <v>65.31</v>
      </c>
      <c r="E7" s="34">
        <v>47.92</v>
      </c>
      <c r="F7" s="34">
        <v>122.85</v>
      </c>
      <c r="G7" s="34">
        <v>106.1</v>
      </c>
      <c r="H7" s="34">
        <v>89.08</v>
      </c>
      <c r="I7" s="34">
        <v>73.540000000000006</v>
      </c>
      <c r="J7" s="34">
        <v>75.239999999999995</v>
      </c>
      <c r="K7" s="34">
        <v>77.25</v>
      </c>
      <c r="L7" s="34">
        <v>78.930000000000007</v>
      </c>
      <c r="M7" s="34">
        <v>80.900000000000006</v>
      </c>
      <c r="N7" s="34">
        <v>82.85</v>
      </c>
      <c r="O7" s="34">
        <v>84.72</v>
      </c>
      <c r="P7" s="34">
        <v>86.64</v>
      </c>
    </row>
    <row r="8" spans="1:16" x14ac:dyDescent="0.25">
      <c r="B8" s="2"/>
      <c r="C8" s="2"/>
      <c r="D8" s="2"/>
      <c r="E8" s="2"/>
      <c r="F8" s="2"/>
      <c r="G8" s="2"/>
      <c r="H8" s="2"/>
      <c r="I8" s="2"/>
      <c r="J8" s="2"/>
      <c r="K8" s="2"/>
      <c r="L8" s="2"/>
    </row>
    <row r="9" spans="1:16" x14ac:dyDescent="0.25">
      <c r="A9" t="s">
        <v>180</v>
      </c>
    </row>
    <row r="10" spans="1:16" x14ac:dyDescent="0.25">
      <c r="A10" s="3" t="s">
        <v>181</v>
      </c>
    </row>
    <row r="11" spans="1:16" x14ac:dyDescent="0.25">
      <c r="A11" s="3"/>
    </row>
    <row r="12" spans="1:16" x14ac:dyDescent="0.25">
      <c r="A12" t="s">
        <v>182</v>
      </c>
    </row>
    <row r="13" spans="1:16" x14ac:dyDescent="0.25">
      <c r="A13" s="9" t="s">
        <v>183</v>
      </c>
    </row>
    <row r="14" spans="1:16" x14ac:dyDescent="0.25">
      <c r="A14" s="9"/>
    </row>
    <row r="15" spans="1:16" x14ac:dyDescent="0.25">
      <c r="A15" s="5" t="s">
        <v>184</v>
      </c>
    </row>
    <row r="16" spans="1:16" x14ac:dyDescent="0.25">
      <c r="A16" s="5" t="s">
        <v>185</v>
      </c>
    </row>
    <row r="17" spans="1:17" x14ac:dyDescent="0.25">
      <c r="A17" s="3" t="s">
        <v>186</v>
      </c>
    </row>
    <row r="18" spans="1:17" x14ac:dyDescent="0.25">
      <c r="A18" s="9"/>
    </row>
    <row r="19" spans="1:17" s="1" customFormat="1" x14ac:dyDescent="0.25">
      <c r="B19" s="1" t="s">
        <v>187</v>
      </c>
      <c r="C19" s="1" t="s">
        <v>188</v>
      </c>
      <c r="D19" s="1" t="s">
        <v>189</v>
      </c>
      <c r="E19" s="1" t="s">
        <v>190</v>
      </c>
      <c r="Q19"/>
    </row>
    <row r="20" spans="1:17" x14ac:dyDescent="0.25">
      <c r="A20" s="6">
        <v>2026</v>
      </c>
      <c r="B20" s="31">
        <v>111.93</v>
      </c>
      <c r="C20" s="10">
        <v>87.558206868083431</v>
      </c>
      <c r="D20" s="2">
        <v>119.59240912283974</v>
      </c>
      <c r="E20" s="10">
        <v>91.274264725771729</v>
      </c>
    </row>
    <row r="21" spans="1:17" x14ac:dyDescent="0.25">
      <c r="A21" s="6">
        <f t="shared" ref="A21:A30" si="1">A20+1</f>
        <v>2027</v>
      </c>
      <c r="B21" s="31">
        <v>96.92</v>
      </c>
      <c r="C21" s="10">
        <v>64.946656551593179</v>
      </c>
      <c r="D21" s="2">
        <v>105.72900228603821</v>
      </c>
      <c r="E21" s="10">
        <v>69.124821811947612</v>
      </c>
    </row>
    <row r="22" spans="1:17" x14ac:dyDescent="0.25">
      <c r="A22" s="6">
        <f t="shared" si="1"/>
        <v>2028</v>
      </c>
      <c r="B22" s="31">
        <v>93.7</v>
      </c>
      <c r="C22" s="10">
        <v>60.104488491157525</v>
      </c>
      <c r="D22" s="2">
        <v>104.36906817926082</v>
      </c>
      <c r="E22" s="10">
        <v>65.314540200815017</v>
      </c>
    </row>
    <row r="23" spans="1:17" x14ac:dyDescent="0.25">
      <c r="A23" s="6">
        <f t="shared" si="1"/>
        <v>2029</v>
      </c>
      <c r="B23" s="31">
        <v>82.47</v>
      </c>
      <c r="C23" s="10">
        <v>43.187236229572612</v>
      </c>
      <c r="D23" s="2">
        <v>93.789720779595498</v>
      </c>
      <c r="E23" s="10">
        <v>47.916393487262823</v>
      </c>
    </row>
    <row r="24" spans="1:17" x14ac:dyDescent="0.25">
      <c r="A24" s="6">
        <f t="shared" si="1"/>
        <v>2030</v>
      </c>
      <c r="B24" s="31">
        <v>71.989999999999995</v>
      </c>
      <c r="C24" s="10">
        <v>108.44477468317319</v>
      </c>
      <c r="D24" s="2">
        <v>83.58585308558888</v>
      </c>
      <c r="E24" s="10">
        <v>122.84658364236968</v>
      </c>
    </row>
    <row r="25" spans="1:17" x14ac:dyDescent="0.25">
      <c r="A25" s="6">
        <f t="shared" si="1"/>
        <v>2031</v>
      </c>
      <c r="B25" s="31">
        <v>60.9</v>
      </c>
      <c r="C25" s="10">
        <v>91.734693976613258</v>
      </c>
      <c r="D25" s="2">
        <v>72.191074693805305</v>
      </c>
      <c r="E25" s="10">
        <v>106.0996157630187</v>
      </c>
    </row>
    <row r="26" spans="1:17" x14ac:dyDescent="0.25">
      <c r="A26" s="6">
        <f t="shared" si="1"/>
        <v>2032</v>
      </c>
      <c r="B26" s="31">
        <v>50.08</v>
      </c>
      <c r="C26" s="10">
        <v>75.434712673618023</v>
      </c>
      <c r="D26" s="2">
        <v>60.610361343376205</v>
      </c>
      <c r="E26" s="10">
        <v>89.07937826200218</v>
      </c>
    </row>
    <row r="27" spans="1:17" x14ac:dyDescent="0.25">
      <c r="A27" s="6">
        <f t="shared" si="1"/>
        <v>2033</v>
      </c>
      <c r="B27" s="31">
        <v>40.49</v>
      </c>
      <c r="C27" s="10">
        <v>60.994743575284005</v>
      </c>
      <c r="D27" s="2">
        <v>50.037290483054427</v>
      </c>
      <c r="E27" s="10">
        <v>73.540078418172996</v>
      </c>
    </row>
    <row r="28" spans="1:17" x14ac:dyDescent="0.25">
      <c r="A28" s="6">
        <f t="shared" si="1"/>
        <v>2034</v>
      </c>
      <c r="B28" s="31">
        <v>40.57</v>
      </c>
      <c r="C28" s="10">
        <v>61.119234589546046</v>
      </c>
      <c r="D28" s="2">
        <v>51.192344963390795</v>
      </c>
      <c r="E28" s="10">
        <v>75.237668280477095</v>
      </c>
    </row>
    <row r="29" spans="1:17" x14ac:dyDescent="0.25">
      <c r="A29" s="6">
        <f t="shared" si="1"/>
        <v>2035</v>
      </c>
      <c r="B29" s="31">
        <v>40.799999999999997</v>
      </c>
      <c r="C29" s="10">
        <v>61.460406302642888</v>
      </c>
      <c r="D29" s="2">
        <v>52.559144291480365</v>
      </c>
      <c r="E29" s="10">
        <v>77.246460699076451</v>
      </c>
    </row>
    <row r="30" spans="1:17" x14ac:dyDescent="0.25">
      <c r="A30" s="6">
        <f t="shared" si="1"/>
        <v>2036</v>
      </c>
      <c r="B30" s="31">
        <v>0</v>
      </c>
      <c r="C30" s="10">
        <v>61.510511432712718</v>
      </c>
      <c r="D30" s="2">
        <v>0</v>
      </c>
      <c r="E30" s="10">
        <v>78.932933431353405</v>
      </c>
    </row>
    <row r="31" spans="1:17" x14ac:dyDescent="0.25">
      <c r="A31" s="6">
        <v>2037</v>
      </c>
      <c r="B31" s="31">
        <v>0</v>
      </c>
      <c r="C31" s="10">
        <v>61.746143218420784</v>
      </c>
      <c r="D31" s="2">
        <v>0</v>
      </c>
      <c r="E31" s="10">
        <v>80.899247703447585</v>
      </c>
    </row>
    <row r="32" spans="1:17" x14ac:dyDescent="0.25">
      <c r="A32" s="6">
        <v>2038</v>
      </c>
      <c r="B32" s="31">
        <v>0</v>
      </c>
      <c r="C32" s="10">
        <v>61.932817160550684</v>
      </c>
      <c r="D32" s="2">
        <v>0</v>
      </c>
      <c r="E32" s="10">
        <v>82.847846593322373</v>
      </c>
    </row>
    <row r="33" spans="1:5" x14ac:dyDescent="0.25">
      <c r="A33" s="6">
        <v>2039</v>
      </c>
      <c r="B33" s="31">
        <v>0</v>
      </c>
      <c r="C33" s="10">
        <v>62.02877203079278</v>
      </c>
      <c r="D33" s="2">
        <v>0</v>
      </c>
      <c r="E33" s="10">
        <v>84.718706238710297</v>
      </c>
    </row>
    <row r="34" spans="1:5" x14ac:dyDescent="0.25">
      <c r="A34" s="6" t="s">
        <v>72</v>
      </c>
      <c r="B34" s="31">
        <v>0</v>
      </c>
      <c r="C34" s="10">
        <v>62.129889690249087</v>
      </c>
      <c r="D34" s="2">
        <v>0</v>
      </c>
      <c r="E34" s="10">
        <v>86.638805488256054</v>
      </c>
    </row>
  </sheetData>
  <sheetProtection algorithmName="SHA-512" hashValue="o5FU7wRciSGejXn4PX6h7IodXLG187y0JYAIxxLvXc+vGMoEk9E3Xjo7eyeOZAxBzUDW3KB5gsUL/F74Hj/z8w==" saltValue="paGiG9Xdz8fwxK/vpELsvg==" spinCount="100000" sheet="1" objects="1" scenarios="1"/>
  <mergeCells count="2">
    <mergeCell ref="A1:P1"/>
    <mergeCell ref="A2:P2"/>
  </mergeCells>
  <hyperlinks>
    <hyperlink ref="A10" r:id="rId1" location="page=461" display="https://cloud.env.nm.gov/resources/_translator.php/NzA3NTEwYzYzY2I0NzNhN2JmNDc3NGQ1NV8yMDMxMTU~.pdf#page=461" xr:uid="{F852C88B-DBDB-45A7-BD8A-A803FEE720B3}"/>
    <hyperlink ref="A13" r:id="rId2" location="page=111" display="https://www.env.nm.gov/opf/wp-content/uploads/sites/13/2025/11/NMED-R135-137.pdf#page=111" xr:uid="{7D6546EC-883B-4BFC-AADC-1C5F258BB037}"/>
    <hyperlink ref="A17" r:id="rId3" xr:uid="{32E755C3-FB60-4CED-B4BB-E4A08ED3753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AECE2-7D78-49B2-8C37-F3102FC4CA32}">
  <sheetPr>
    <tabColor rgb="FFF4F1E2"/>
  </sheetPr>
  <dimension ref="A1:P21"/>
  <sheetViews>
    <sheetView zoomScale="120" zoomScaleNormal="120" workbookViewId="0">
      <selection activeCell="C9" sqref="C9"/>
    </sheetView>
  </sheetViews>
  <sheetFormatPr defaultRowHeight="15" x14ac:dyDescent="0.25"/>
  <cols>
    <col min="1" max="1" width="38.140625" customWidth="1"/>
    <col min="6" max="7" width="10.7109375" customWidth="1"/>
    <col min="15" max="15" width="10" bestFit="1" customWidth="1"/>
    <col min="17" max="17" width="10" bestFit="1" customWidth="1"/>
  </cols>
  <sheetData>
    <row r="1" spans="1:16" ht="22.5" x14ac:dyDescent="0.25">
      <c r="A1" s="118" t="s">
        <v>191</v>
      </c>
      <c r="B1" s="119"/>
      <c r="C1" s="119"/>
      <c r="D1" s="119"/>
      <c r="E1" s="119"/>
      <c r="F1" s="119"/>
      <c r="G1" s="119"/>
      <c r="H1" s="119"/>
      <c r="I1" s="119"/>
      <c r="J1" s="119"/>
      <c r="K1" s="119"/>
      <c r="L1" s="119"/>
      <c r="M1" s="119"/>
      <c r="N1" s="119"/>
      <c r="O1" s="119"/>
    </row>
    <row r="2" spans="1:16" ht="19.5" x14ac:dyDescent="0.4">
      <c r="A2" s="116" t="s">
        <v>192</v>
      </c>
      <c r="B2" s="117"/>
      <c r="C2" s="117"/>
      <c r="D2" s="117"/>
      <c r="E2" s="117"/>
      <c r="F2" s="117"/>
      <c r="G2" s="117"/>
      <c r="H2" s="117"/>
      <c r="I2" s="117"/>
      <c r="J2" s="117"/>
      <c r="K2" s="117"/>
      <c r="L2" s="117"/>
      <c r="M2" s="117"/>
      <c r="N2" s="117"/>
      <c r="O2" s="117"/>
    </row>
    <row r="3" spans="1:16" ht="8.4499999999999993" customHeight="1" x14ac:dyDescent="0.25">
      <c r="H3" s="11"/>
      <c r="I3" s="22"/>
    </row>
    <row r="4" spans="1:16" x14ac:dyDescent="0.25">
      <c r="A4" s="1" t="s">
        <v>193</v>
      </c>
      <c r="B4" s="6">
        <v>2025</v>
      </c>
      <c r="C4" s="6">
        <v>2026</v>
      </c>
      <c r="D4" s="6">
        <v>2027</v>
      </c>
      <c r="E4" s="6">
        <v>2028</v>
      </c>
      <c r="F4" s="6">
        <v>2029</v>
      </c>
      <c r="G4" s="6">
        <v>2030</v>
      </c>
      <c r="H4" s="6">
        <v>2031</v>
      </c>
      <c r="I4" s="6">
        <f>H4+1</f>
        <v>2032</v>
      </c>
      <c r="J4" s="6">
        <f t="shared" ref="J4:M4" si="0">I4+1</f>
        <v>2033</v>
      </c>
      <c r="K4" s="6">
        <f t="shared" si="0"/>
        <v>2034</v>
      </c>
      <c r="L4" s="6">
        <f t="shared" si="0"/>
        <v>2035</v>
      </c>
      <c r="M4" s="6">
        <f t="shared" si="0"/>
        <v>2036</v>
      </c>
      <c r="O4" s="6" t="s">
        <v>194</v>
      </c>
      <c r="P4" s="6"/>
    </row>
    <row r="5" spans="1:16" x14ac:dyDescent="0.25">
      <c r="A5" t="s">
        <v>195</v>
      </c>
      <c r="B5" s="7">
        <v>2.6</v>
      </c>
      <c r="C5" s="7">
        <v>2.7</v>
      </c>
      <c r="D5" s="7">
        <v>2.4</v>
      </c>
      <c r="E5" s="7">
        <v>2.2000000000000002</v>
      </c>
      <c r="F5" s="7">
        <v>2.1</v>
      </c>
      <c r="G5" s="7">
        <f t="shared" ref="G5:M9" si="1">$O5</f>
        <v>2</v>
      </c>
      <c r="H5" s="7">
        <f t="shared" si="1"/>
        <v>2</v>
      </c>
      <c r="I5" s="7">
        <f t="shared" si="1"/>
        <v>2</v>
      </c>
      <c r="J5" s="7">
        <f t="shared" si="1"/>
        <v>2</v>
      </c>
      <c r="K5" s="7">
        <f t="shared" si="1"/>
        <v>2</v>
      </c>
      <c r="L5" s="7">
        <f t="shared" si="1"/>
        <v>2</v>
      </c>
      <c r="M5" s="7">
        <f t="shared" si="1"/>
        <v>2</v>
      </c>
      <c r="O5" s="7">
        <v>2</v>
      </c>
      <c r="P5" s="6"/>
    </row>
    <row r="6" spans="1:16" x14ac:dyDescent="0.25">
      <c r="A6" t="s">
        <v>196</v>
      </c>
      <c r="B6" s="7">
        <v>2.8</v>
      </c>
      <c r="C6" s="7">
        <v>2.9</v>
      </c>
      <c r="D6" s="7">
        <v>2.4</v>
      </c>
      <c r="E6" s="7">
        <v>2.2000000000000002</v>
      </c>
      <c r="F6" s="7">
        <v>2.1</v>
      </c>
      <c r="G6" s="7">
        <f t="shared" si="1"/>
        <v>2</v>
      </c>
      <c r="H6" s="7">
        <f t="shared" si="1"/>
        <v>2</v>
      </c>
      <c r="I6" s="7">
        <f t="shared" si="1"/>
        <v>2</v>
      </c>
      <c r="J6" s="7">
        <f t="shared" si="1"/>
        <v>2</v>
      </c>
      <c r="K6" s="7">
        <f t="shared" si="1"/>
        <v>2</v>
      </c>
      <c r="L6" s="7">
        <f t="shared" si="1"/>
        <v>2</v>
      </c>
      <c r="M6" s="7">
        <f t="shared" si="1"/>
        <v>2</v>
      </c>
      <c r="O6" s="7">
        <v>2</v>
      </c>
      <c r="P6" s="7"/>
    </row>
    <row r="7" spans="1:16" x14ac:dyDescent="0.25">
      <c r="A7" t="s">
        <v>50</v>
      </c>
      <c r="B7" s="7">
        <v>2.8</v>
      </c>
      <c r="C7" s="4">
        <v>2.9</v>
      </c>
      <c r="D7" s="4">
        <v>2.5</v>
      </c>
      <c r="E7" s="4">
        <v>2.4</v>
      </c>
      <c r="F7" s="7">
        <v>2.2999999999999998</v>
      </c>
      <c r="G7" s="7">
        <f t="shared" si="1"/>
        <v>2.2999999999999998</v>
      </c>
      <c r="H7" s="7">
        <f t="shared" si="1"/>
        <v>2.2999999999999998</v>
      </c>
      <c r="I7" s="7">
        <f t="shared" si="1"/>
        <v>2.2999999999999998</v>
      </c>
      <c r="J7" s="7">
        <f t="shared" si="1"/>
        <v>2.2999999999999998</v>
      </c>
      <c r="K7" s="7">
        <f t="shared" si="1"/>
        <v>2.2999999999999998</v>
      </c>
      <c r="L7" s="7">
        <f t="shared" si="1"/>
        <v>2.2999999999999998</v>
      </c>
      <c r="M7" s="7">
        <f t="shared" si="1"/>
        <v>2.2999999999999998</v>
      </c>
      <c r="O7" s="4">
        <v>2.2999999999999998</v>
      </c>
      <c r="P7" s="7"/>
    </row>
    <row r="8" spans="1:16" x14ac:dyDescent="0.25">
      <c r="A8" t="s">
        <v>197</v>
      </c>
      <c r="B8" s="7">
        <v>3</v>
      </c>
      <c r="C8" s="4">
        <v>3.1</v>
      </c>
      <c r="D8" s="4">
        <v>2.6</v>
      </c>
      <c r="E8" s="4">
        <v>2.4</v>
      </c>
      <c r="F8" s="7">
        <v>2.2999999999999998</v>
      </c>
      <c r="G8" s="7">
        <f t="shared" si="1"/>
        <v>2.2999999999999998</v>
      </c>
      <c r="H8" s="7">
        <f t="shared" si="1"/>
        <v>2.2999999999999998</v>
      </c>
      <c r="I8" s="7">
        <f t="shared" si="1"/>
        <v>2.2999999999999998</v>
      </c>
      <c r="J8" s="7">
        <f t="shared" si="1"/>
        <v>2.2999999999999998</v>
      </c>
      <c r="K8" s="7">
        <f t="shared" si="1"/>
        <v>2.2999999999999998</v>
      </c>
      <c r="L8" s="7">
        <f t="shared" si="1"/>
        <v>2.2999999999999998</v>
      </c>
      <c r="M8" s="7">
        <f t="shared" si="1"/>
        <v>2.2999999999999998</v>
      </c>
      <c r="O8" s="4">
        <v>2.2999999999999998</v>
      </c>
      <c r="P8" s="4"/>
    </row>
    <row r="9" spans="1:16" x14ac:dyDescent="0.25">
      <c r="A9" t="s">
        <v>198</v>
      </c>
      <c r="B9" s="7">
        <v>2.7</v>
      </c>
      <c r="C9" s="4">
        <v>2.7</v>
      </c>
      <c r="D9" s="4">
        <v>2.4</v>
      </c>
      <c r="E9" s="4">
        <v>2.2000000000000002</v>
      </c>
      <c r="F9" s="7">
        <v>2.1</v>
      </c>
      <c r="G9" s="7">
        <f t="shared" si="1"/>
        <v>2</v>
      </c>
      <c r="H9" s="7">
        <f t="shared" si="1"/>
        <v>2</v>
      </c>
      <c r="I9" s="7">
        <f t="shared" si="1"/>
        <v>2</v>
      </c>
      <c r="J9" s="7">
        <f t="shared" si="1"/>
        <v>2</v>
      </c>
      <c r="K9" s="7">
        <f t="shared" si="1"/>
        <v>2</v>
      </c>
      <c r="L9" s="7">
        <f t="shared" si="1"/>
        <v>2</v>
      </c>
      <c r="M9" s="7">
        <f t="shared" si="1"/>
        <v>2</v>
      </c>
      <c r="O9" s="7">
        <v>2</v>
      </c>
      <c r="P9" s="4"/>
    </row>
    <row r="10" spans="1:16" x14ac:dyDescent="0.25">
      <c r="P10" s="4"/>
    </row>
    <row r="11" spans="1:16" x14ac:dyDescent="0.25">
      <c r="A11" s="1" t="s">
        <v>199</v>
      </c>
      <c r="B11" s="6">
        <v>2025</v>
      </c>
      <c r="C11" s="6">
        <v>2026</v>
      </c>
      <c r="D11" s="6">
        <v>2027</v>
      </c>
      <c r="E11" s="6">
        <v>2028</v>
      </c>
      <c r="F11" s="6">
        <v>2029</v>
      </c>
      <c r="G11" s="6">
        <v>2030</v>
      </c>
      <c r="H11" s="6">
        <v>2031</v>
      </c>
      <c r="I11" s="6">
        <f>H11+1</f>
        <v>2032</v>
      </c>
      <c r="J11" s="6">
        <f t="shared" ref="J11" si="2">I11+1</f>
        <v>2033</v>
      </c>
      <c r="K11" s="6">
        <f t="shared" ref="K11" si="3">J11+1</f>
        <v>2034</v>
      </c>
      <c r="L11" s="6">
        <f t="shared" ref="L11" si="4">K11+1</f>
        <v>2035</v>
      </c>
      <c r="M11" s="6">
        <f t="shared" ref="M11" si="5">L11+1</f>
        <v>2036</v>
      </c>
    </row>
    <row r="12" spans="1:16" x14ac:dyDescent="0.25">
      <c r="A12" t="s">
        <v>195</v>
      </c>
      <c r="B12" s="8">
        <f>1+B5/100</f>
        <v>1.026</v>
      </c>
      <c r="C12" s="8">
        <f>(1+C5/100)*B12</f>
        <v>1.0537019999999999</v>
      </c>
      <c r="D12" s="8">
        <f>(1+D5/100)*C12</f>
        <v>1.0789908479999999</v>
      </c>
      <c r="E12" s="8">
        <f>(1+E5/100)*D12</f>
        <v>1.102728646656</v>
      </c>
      <c r="F12" s="8">
        <f>(1+F5/100)*E12</f>
        <v>1.1258859482357759</v>
      </c>
      <c r="G12" s="8">
        <f t="shared" ref="G12:M16" si="6">(1+G5/100)*F12</f>
        <v>1.1484036672004914</v>
      </c>
      <c r="H12" s="8">
        <f t="shared" si="6"/>
        <v>1.1713717405445012</v>
      </c>
      <c r="I12" s="8">
        <f t="shared" si="6"/>
        <v>1.1947991753553913</v>
      </c>
      <c r="J12" s="8">
        <f t="shared" si="6"/>
        <v>1.218695158862499</v>
      </c>
      <c r="K12" s="8">
        <f t="shared" si="6"/>
        <v>1.2430690620397491</v>
      </c>
      <c r="L12" s="8">
        <f t="shared" si="6"/>
        <v>1.2679304432805441</v>
      </c>
      <c r="M12" s="8">
        <f t="shared" si="6"/>
        <v>1.2932890521461549</v>
      </c>
    </row>
    <row r="13" spans="1:16" x14ac:dyDescent="0.25">
      <c r="A13" t="s">
        <v>196</v>
      </c>
      <c r="B13" s="8">
        <f t="shared" ref="B13:B16" si="7">1+B6/100</f>
        <v>1.028</v>
      </c>
      <c r="C13" s="8">
        <f t="shared" ref="C13:F13" si="8">(1+C6/100)*B13</f>
        <v>1.057812</v>
      </c>
      <c r="D13" s="8">
        <f t="shared" si="8"/>
        <v>1.083199488</v>
      </c>
      <c r="E13" s="8">
        <f t="shared" si="8"/>
        <v>1.1070298767360001</v>
      </c>
      <c r="F13" s="8">
        <f t="shared" si="8"/>
        <v>1.130277504147456</v>
      </c>
      <c r="G13" s="8">
        <f t="shared" si="6"/>
        <v>1.1528830542304052</v>
      </c>
      <c r="H13" s="8">
        <f t="shared" si="6"/>
        <v>1.1759407153150132</v>
      </c>
      <c r="I13" s="8">
        <f t="shared" si="6"/>
        <v>1.1994595296213135</v>
      </c>
      <c r="J13" s="8">
        <f t="shared" si="6"/>
        <v>1.2234487202137398</v>
      </c>
      <c r="K13" s="8">
        <f t="shared" si="6"/>
        <v>1.2479176946180146</v>
      </c>
      <c r="L13" s="8">
        <f t="shared" si="6"/>
        <v>1.2728760485103749</v>
      </c>
      <c r="M13" s="8">
        <f t="shared" si="6"/>
        <v>1.2983335694805824</v>
      </c>
    </row>
    <row r="14" spans="1:16" x14ac:dyDescent="0.25">
      <c r="A14" t="s">
        <v>50</v>
      </c>
      <c r="B14" s="8">
        <f t="shared" si="7"/>
        <v>1.028</v>
      </c>
      <c r="C14" s="8">
        <f t="shared" ref="C14:F14" si="9">(1+C7/100)*B14</f>
        <v>1.057812</v>
      </c>
      <c r="D14" s="8">
        <f t="shared" si="9"/>
        <v>1.0842573</v>
      </c>
      <c r="E14" s="8">
        <f t="shared" si="9"/>
        <v>1.1102794752</v>
      </c>
      <c r="F14" s="8">
        <f t="shared" si="9"/>
        <v>1.1358159031296</v>
      </c>
      <c r="G14" s="8">
        <f t="shared" si="6"/>
        <v>1.1619396689015806</v>
      </c>
      <c r="H14" s="8">
        <f t="shared" si="6"/>
        <v>1.1886642812863168</v>
      </c>
      <c r="I14" s="8">
        <f t="shared" si="6"/>
        <v>1.216003559755902</v>
      </c>
      <c r="J14" s="8">
        <f t="shared" si="6"/>
        <v>1.2439716416302877</v>
      </c>
      <c r="K14" s="8">
        <f t="shared" si="6"/>
        <v>1.2725829893877842</v>
      </c>
      <c r="L14" s="8">
        <f t="shared" si="6"/>
        <v>1.3018523981437031</v>
      </c>
      <c r="M14" s="8">
        <f t="shared" si="6"/>
        <v>1.3317950033010082</v>
      </c>
    </row>
    <row r="15" spans="1:16" x14ac:dyDescent="0.25">
      <c r="A15" t="s">
        <v>197</v>
      </c>
      <c r="B15" s="8">
        <f t="shared" si="7"/>
        <v>1.03</v>
      </c>
      <c r="C15" s="8">
        <f t="shared" ref="C15:F15" si="10">(1+C8/100)*B15</f>
        <v>1.06193</v>
      </c>
      <c r="D15" s="8">
        <f t="shared" si="10"/>
        <v>1.08954018</v>
      </c>
      <c r="E15" s="8">
        <f t="shared" si="10"/>
        <v>1.1156891443199999</v>
      </c>
      <c r="F15" s="8">
        <f t="shared" si="10"/>
        <v>1.1413499946393597</v>
      </c>
      <c r="G15" s="8">
        <f t="shared" si="6"/>
        <v>1.1676010445160649</v>
      </c>
      <c r="H15" s="8">
        <f t="shared" si="6"/>
        <v>1.1944558685399342</v>
      </c>
      <c r="I15" s="8">
        <f t="shared" si="6"/>
        <v>1.2219283535163525</v>
      </c>
      <c r="J15" s="8">
        <f t="shared" si="6"/>
        <v>1.2500327056472285</v>
      </c>
      <c r="K15" s="8">
        <f t="shared" si="6"/>
        <v>1.2787834578771147</v>
      </c>
      <c r="L15" s="8">
        <f t="shared" si="6"/>
        <v>1.3081954774082882</v>
      </c>
      <c r="M15" s="8">
        <f t="shared" si="6"/>
        <v>1.3382839733886787</v>
      </c>
    </row>
    <row r="16" spans="1:16" x14ac:dyDescent="0.25">
      <c r="A16" t="s">
        <v>198</v>
      </c>
      <c r="B16" s="8">
        <f t="shared" si="7"/>
        <v>1.0269999999999999</v>
      </c>
      <c r="C16" s="8">
        <f t="shared" ref="C16:F16" si="11">(1+C9/100)*B16</f>
        <v>1.0547289999999998</v>
      </c>
      <c r="D16" s="8">
        <f t="shared" si="11"/>
        <v>1.0800424959999999</v>
      </c>
      <c r="E16" s="8">
        <f t="shared" si="11"/>
        <v>1.1038034309119999</v>
      </c>
      <c r="F16" s="8">
        <f t="shared" si="11"/>
        <v>1.1269833029611518</v>
      </c>
      <c r="G16" s="8">
        <f t="shared" si="6"/>
        <v>1.1495229690203748</v>
      </c>
      <c r="H16" s="8">
        <f t="shared" si="6"/>
        <v>1.1725134284007823</v>
      </c>
      <c r="I16" s="8">
        <f t="shared" si="6"/>
        <v>1.1959636969687979</v>
      </c>
      <c r="J16" s="8">
        <f t="shared" si="6"/>
        <v>1.2198829709081738</v>
      </c>
      <c r="K16" s="8">
        <f t="shared" si="6"/>
        <v>1.2442806303263372</v>
      </c>
      <c r="L16" s="8">
        <f t="shared" si="6"/>
        <v>1.2691662429328638</v>
      </c>
      <c r="M16" s="8">
        <f t="shared" si="6"/>
        <v>1.2945495677915211</v>
      </c>
    </row>
    <row r="20" spans="1:1" x14ac:dyDescent="0.25">
      <c r="A20" t="s">
        <v>200</v>
      </c>
    </row>
    <row r="21" spans="1:1" x14ac:dyDescent="0.25">
      <c r="A21" s="3" t="s">
        <v>201</v>
      </c>
    </row>
  </sheetData>
  <sheetProtection algorithmName="SHA-512" hashValue="H0Yqp61DQSIWbnUtD1E10wr/w8kzC59ZGBhHhPkNkFOWS15r3JOSdkyDHvtMF3fWwBdYz7QXXCgnp4HqR6mjnw==" saltValue="6UVrByvJhKJh/hNTU68VmQ==" spinCount="100000" sheet="1" objects="1" scenarios="1"/>
  <mergeCells count="2">
    <mergeCell ref="A1:O1"/>
    <mergeCell ref="A2:O2"/>
  </mergeCells>
  <hyperlinks>
    <hyperlink ref="A21" r:id="rId1" location="page=163" xr:uid="{01D2820D-E1C5-4A4D-90E2-882BA4C71A0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c46344e-ec94-4c24-ada3-0d817196d5c6" xsi:nil="true"/>
    <lcf76f155ced4ddcb4097134ff3c332f xmlns="48f7e80c-61ed-4043-9da3-abd35210c97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93ADBBAC300204D917756E66EBC370C" ma:contentTypeVersion="11" ma:contentTypeDescription="Create a new document." ma:contentTypeScope="" ma:versionID="6d173c42f34865b9f8477060fe68196c">
  <xsd:schema xmlns:xsd="http://www.w3.org/2001/XMLSchema" xmlns:xs="http://www.w3.org/2001/XMLSchema" xmlns:p="http://schemas.microsoft.com/office/2006/metadata/properties" xmlns:ns2="48f7e80c-61ed-4043-9da3-abd35210c977" xmlns:ns3="cc46344e-ec94-4c24-ada3-0d817196d5c6" targetNamespace="http://schemas.microsoft.com/office/2006/metadata/properties" ma:root="true" ma:fieldsID="8575ffacea3b5e53c725262313f9270d" ns2:_="" ns3:_="">
    <xsd:import namespace="48f7e80c-61ed-4043-9da3-abd35210c977"/>
    <xsd:import namespace="cc46344e-ec94-4c24-ada3-0d817196d5c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f7e80c-61ed-4043-9da3-abd35210c9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46344e-ec94-4c24-ada3-0d817196d5c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0f2beb5-cb91-42b1-8a7a-d6d1282bd884}" ma:internalName="TaxCatchAll" ma:showField="CatchAllData" ma:web="cc46344e-ec94-4c24-ada3-0d817196d5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5023AA-1DAC-48F4-A91D-26BF63818F9D}">
  <ds:schemaRefs>
    <ds:schemaRef ds:uri="http://schemas.microsoft.com/office/2006/metadata/properties"/>
    <ds:schemaRef ds:uri="http://schemas.microsoft.com/office/infopath/2007/PartnerControls"/>
    <ds:schemaRef ds:uri="cc46344e-ec94-4c24-ada3-0d817196d5c6"/>
    <ds:schemaRef ds:uri="48f7e80c-61ed-4043-9da3-abd35210c977"/>
  </ds:schemaRefs>
</ds:datastoreItem>
</file>

<file path=customXml/itemProps2.xml><?xml version="1.0" encoding="utf-8"?>
<ds:datastoreItem xmlns:ds="http://schemas.openxmlformats.org/officeDocument/2006/customXml" ds:itemID="{CB58F720-7AD8-444D-A5B0-CD203A044B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f7e80c-61ed-4043-9da3-abd35210c977"/>
    <ds:schemaRef ds:uri="cc46344e-ec94-4c24-ada3-0d817196d5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869E06-ECBD-4B4A-BA14-BEE456E31D7C}">
  <ds:schemaRefs>
    <ds:schemaRef ds:uri="http://schemas.microsoft.com/sharepoint/v3/contenttype/forms"/>
  </ds:schemaRefs>
</ds:datastoreItem>
</file>

<file path=docMetadata/LabelInfo.xml><?xml version="1.0" encoding="utf-8"?>
<clbl:labelList xmlns:clbl="http://schemas.microsoft.com/office/2020/mipLabelMetadata">
  <clbl:label id="{04aa6bf4-d436-426f-bfa4-04b7a70e60ff}" enabled="0" method="" siteId="{04aa6bf4-d436-426f-bfa4-04b7a70e60f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Start here</vt:lpstr>
      <vt:lpstr>Calculator</vt:lpstr>
      <vt:lpstr>(A) Capacity and Use</vt:lpstr>
      <vt:lpstr>(B) CI Standard</vt:lpstr>
      <vt:lpstr>(C) StatewideGridAvg</vt:lpstr>
      <vt:lpstr>(D) GenMix_CI</vt:lpstr>
      <vt:lpstr>(E) EF_Tables</vt:lpstr>
      <vt:lpstr>(F) Credit Price_nom</vt:lpstr>
      <vt:lpstr>(G) Inflation</vt:lpstr>
      <vt:lpstr>(H) OptionLists</vt:lpstr>
      <vt:lpstr>Capacity__DCFC</vt:lpstr>
      <vt:lpstr>Capacity__Level2</vt:lpstr>
      <vt:lpstr>DailyUse__DCFC</vt:lpstr>
      <vt:lpstr>DailyUse__Level2</vt:lpstr>
      <vt:lpstr>GridCIMulti</vt:lpstr>
      <vt:lpstr>GridCISingle</vt:lpstr>
      <vt:lpstr>Inflation</vt:lpstr>
      <vt:lpstr>NoInflation</vt:lpstr>
      <vt:lpstr>PricesMulti</vt:lpstr>
      <vt:lpstr>PricesSingle</vt:lpstr>
      <vt:lpstr>SingleYear</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Ford, Michael, ENV</dc:creator>
  <cp:keywords/>
  <dc:description/>
  <cp:lastModifiedBy>Putka, Sophie, ENV</cp:lastModifiedBy>
  <cp:revision/>
  <dcterms:created xsi:type="dcterms:W3CDTF">2015-06-05T18:17:20Z</dcterms:created>
  <dcterms:modified xsi:type="dcterms:W3CDTF">2026-05-28T00:19:08Z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0x010100C93ADBBAC300204D917756E66EBC370C</vt:lpwstr>
  </property>
  <property fmtid="{D5CDD505-2E9C-101B-9397-08002B2CF9AE}" pid="3" name="MediaServiceImageTags">
    <vt:lpwstr/>
  </property>
</Properties>
</file>