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My Documents\Roper Construction\Application\Final\revised\V6\"/>
    </mc:Choice>
  </mc:AlternateContent>
  <xr:revisionPtr revIDLastSave="0" documentId="13_ncr:1_{4819C5DB-CCFB-49F1-8C44-E1930112AC39}" xr6:coauthVersionLast="36" xr6:coauthVersionMax="36" xr10:uidLastSave="{00000000-0000-0000-0000-000000000000}"/>
  <bookViews>
    <workbookView xWindow="23880" yWindow="-120" windowWidth="24240" windowHeight="13740" activeTab="2" xr2:uid="{00000000-000D-0000-FFFF-FFFF00000000}"/>
  </bookViews>
  <sheets>
    <sheet name="Material Handling" sheetId="1" r:id="rId1"/>
    <sheet name="Heater" sheetId="5" r:id="rId2"/>
    <sheet name="Total" sheetId="4" r:id="rId3"/>
    <sheet name="Hours" sheetId="7" r:id="rId4"/>
    <sheet name="Road Length" sheetId="8" r:id="rId5"/>
  </sheets>
  <externalReferences>
    <externalReference r:id="rId6"/>
  </externalReferences>
  <definedNames>
    <definedName name="agg">'Material Handling'!$C$4</definedName>
    <definedName name="area">'Material Handling'!#REF!</definedName>
    <definedName name="cuydday">'Material Handling'!$D$12</definedName>
    <definedName name="cuydhr">'Material Handling'!$D$11</definedName>
    <definedName name="cuydyr">'Material Handling'!$D$13</definedName>
    <definedName name="Hour_for_model">#REF!</definedName>
    <definedName name="hrsday">'Material Handling'!#REF!</definedName>
    <definedName name="hrsyr">'Material Handling'!#REF!</definedName>
    <definedName name="main_engine_hrs">'[1]Material Handling'!$D$11</definedName>
    <definedName name="_xlnm.Print_Area" localSheetId="1">Heater!$A$1:$H$31</definedName>
    <definedName name="_xlnm.Print_Area" localSheetId="0">'Material Handling'!$A$1:$K$287</definedName>
    <definedName name="_xlnm.Print_Area" localSheetId="2">Total!$A$1:$P$30</definedName>
    <definedName name="sand">'Material Handling'!$C$5</definedName>
    <definedName name="speed">'Material Handling'!#REF!</definedName>
    <definedName name="unhrsyr">'Material Handling'!$D$15</definedName>
  </definedNames>
  <calcPr calcId="191029"/>
</workbook>
</file>

<file path=xl/calcChain.xml><?xml version="1.0" encoding="utf-8"?>
<calcChain xmlns="http://schemas.openxmlformats.org/spreadsheetml/2006/main">
  <c r="D242" i="1" l="1"/>
  <c r="D240" i="1"/>
  <c r="D239" i="1"/>
  <c r="D241" i="1"/>
  <c r="D14" i="1" l="1"/>
  <c r="C169" i="1" l="1"/>
  <c r="C59" i="1" l="1"/>
  <c r="F90" i="1" l="1"/>
  <c r="F111" i="1"/>
  <c r="F132" i="1"/>
  <c r="C147" i="1"/>
  <c r="C158" i="1" s="1"/>
  <c r="C39" i="1"/>
  <c r="C19" i="1"/>
  <c r="B6" i="5" l="1"/>
  <c r="B31" i="5" s="1"/>
  <c r="D31" i="5" s="1"/>
  <c r="B23" i="5"/>
  <c r="D23" i="5" s="1"/>
  <c r="B22" i="5"/>
  <c r="D22" i="5" s="1"/>
  <c r="B21" i="5"/>
  <c r="D21" i="5" s="1"/>
  <c r="B20" i="5"/>
  <c r="D20" i="5" s="1"/>
  <c r="B27" i="5" l="1"/>
  <c r="D27" i="5" s="1"/>
  <c r="B28" i="5"/>
  <c r="D28" i="5" s="1"/>
  <c r="B19" i="5"/>
  <c r="D19" i="5" s="1"/>
  <c r="B29" i="5"/>
  <c r="D29" i="5" s="1"/>
  <c r="B30" i="5"/>
  <c r="D30" i="5" s="1"/>
  <c r="F3" i="8" l="1"/>
  <c r="F4" i="8"/>
  <c r="F5" i="8"/>
  <c r="F6" i="8"/>
  <c r="F7" i="8"/>
  <c r="F8" i="8"/>
  <c r="F9" i="8"/>
  <c r="F10" i="8"/>
  <c r="F11" i="8"/>
  <c r="F12" i="8"/>
  <c r="F13" i="8"/>
  <c r="C3" i="8"/>
  <c r="C4" i="8"/>
  <c r="C5" i="8"/>
  <c r="C6" i="8"/>
  <c r="C7" i="8"/>
  <c r="C8" i="8"/>
  <c r="C9" i="8"/>
  <c r="C10" i="8"/>
  <c r="C2" i="8"/>
  <c r="C17" i="8" l="1"/>
  <c r="E57" i="7"/>
  <c r="F57" i="7"/>
  <c r="G57" i="7"/>
  <c r="H57" i="7"/>
  <c r="I57" i="7"/>
  <c r="J57" i="7"/>
  <c r="K57" i="7"/>
  <c r="B211" i="1" l="1"/>
  <c r="B189" i="1"/>
  <c r="B167" i="1"/>
  <c r="E213" i="1" l="1"/>
  <c r="D225" i="1" s="1"/>
  <c r="E191" i="1"/>
  <c r="D203" i="1" s="1"/>
  <c r="C213" i="1"/>
  <c r="C224" i="1" s="1"/>
  <c r="K27" i="4" s="1"/>
  <c r="E169" i="1"/>
  <c r="D181" i="1" s="1"/>
  <c r="D182" i="1" s="1"/>
  <c r="C173" i="1"/>
  <c r="E147" i="1"/>
  <c r="D159" i="1" s="1"/>
  <c r="B145" i="1"/>
  <c r="N25" i="4" l="1"/>
  <c r="D160" i="1"/>
  <c r="P25" i="4" s="1"/>
  <c r="N26" i="4"/>
  <c r="D204" i="1"/>
  <c r="P26" i="4" s="1"/>
  <c r="N27" i="4"/>
  <c r="D226" i="1"/>
  <c r="P27" i="4" s="1"/>
  <c r="C151" i="1"/>
  <c r="M9" i="4" s="1"/>
  <c r="C159" i="1"/>
  <c r="C160" i="1" s="1"/>
  <c r="D180" i="1"/>
  <c r="D158" i="1"/>
  <c r="L25" i="4" s="1"/>
  <c r="D173" i="1"/>
  <c r="N10" i="4" s="1"/>
  <c r="M10" i="4"/>
  <c r="C172" i="1"/>
  <c r="K10" i="4" s="1"/>
  <c r="C180" i="1"/>
  <c r="C181" i="1"/>
  <c r="C182" i="1" s="1"/>
  <c r="C225" i="1"/>
  <c r="D202" i="1"/>
  <c r="L26" i="4" s="1"/>
  <c r="D224" i="1"/>
  <c r="L27" i="4" s="1"/>
  <c r="C174" i="1"/>
  <c r="C218" i="1"/>
  <c r="C152" i="1"/>
  <c r="C150" i="1"/>
  <c r="C217" i="1"/>
  <c r="O12" i="4" s="1"/>
  <c r="C216" i="1"/>
  <c r="D151" i="1" l="1"/>
  <c r="N9" i="4" s="1"/>
  <c r="D172" i="1"/>
  <c r="L10" i="4" s="1"/>
  <c r="O25" i="4"/>
  <c r="M27" i="4"/>
  <c r="C226" i="1"/>
  <c r="O27" i="4" s="1"/>
  <c r="M25" i="4"/>
  <c r="K25" i="4"/>
  <c r="D150" i="1"/>
  <c r="L9" i="4" s="1"/>
  <c r="K9" i="4"/>
  <c r="D174" i="1"/>
  <c r="P10" i="4" s="1"/>
  <c r="O10" i="4"/>
  <c r="K12" i="4"/>
  <c r="M12" i="4"/>
  <c r="D152" i="1"/>
  <c r="P9" i="4" s="1"/>
  <c r="O9" i="4"/>
  <c r="D216" i="1"/>
  <c r="D217" i="1"/>
  <c r="P12" i="4" s="1"/>
  <c r="D218" i="1"/>
  <c r="N12" i="4" l="1"/>
  <c r="L12" i="4"/>
  <c r="D3" i="1" l="1"/>
  <c r="C103" i="1" l="1"/>
  <c r="C82" i="1"/>
  <c r="E3" i="1" l="1"/>
  <c r="C100" i="1" l="1"/>
  <c r="E19" i="1"/>
  <c r="C30" i="1" l="1"/>
  <c r="C34" i="1"/>
  <c r="E33" i="1"/>
  <c r="C29" i="1"/>
  <c r="C33" i="1"/>
  <c r="C28" i="1"/>
  <c r="E35" i="1"/>
  <c r="C35" i="1"/>
  <c r="E34" i="1"/>
  <c r="C55" i="1"/>
  <c r="C49" i="1"/>
  <c r="C54" i="1"/>
  <c r="C48" i="1"/>
  <c r="C53" i="1"/>
  <c r="C50" i="1"/>
  <c r="C115" i="1"/>
  <c r="C116" i="1"/>
  <c r="C117" i="1"/>
  <c r="C108" i="1"/>
  <c r="D108" i="1" s="1"/>
  <c r="C106" i="1"/>
  <c r="D106" i="1" s="1"/>
  <c r="C107" i="1"/>
  <c r="D107" i="1" s="1"/>
  <c r="M28" i="4" l="1"/>
  <c r="O28" i="4"/>
  <c r="K28" i="4"/>
  <c r="D85" i="7"/>
  <c r="E85" i="7"/>
  <c r="F85" i="7"/>
  <c r="G85" i="7"/>
  <c r="H85" i="7"/>
  <c r="I85" i="7"/>
  <c r="J85" i="7"/>
  <c r="K85" i="7"/>
  <c r="L85" i="7"/>
  <c r="M85" i="7"/>
  <c r="N85" i="7"/>
  <c r="D57" i="7"/>
  <c r="L57" i="7"/>
  <c r="M57" i="7"/>
  <c r="N57" i="7"/>
  <c r="F2" i="8"/>
  <c r="F15" i="8" s="1"/>
  <c r="G27" i="7" l="1"/>
  <c r="H27" i="7"/>
  <c r="I27" i="7"/>
  <c r="J27" i="7"/>
  <c r="K27" i="7"/>
  <c r="L27" i="7"/>
  <c r="M27" i="7"/>
  <c r="N27" i="7"/>
  <c r="G113" i="7"/>
  <c r="H113" i="7"/>
  <c r="I113" i="7"/>
  <c r="J113" i="7"/>
  <c r="K113" i="7"/>
  <c r="L113" i="7"/>
  <c r="M113" i="7"/>
  <c r="N113" i="7"/>
  <c r="D113" i="7"/>
  <c r="E113" i="7"/>
  <c r="F113" i="7"/>
  <c r="D27" i="7"/>
  <c r="E27" i="7"/>
  <c r="F27" i="7"/>
  <c r="M28" i="7" l="1"/>
  <c r="M30" i="7" s="1"/>
  <c r="M29" i="7"/>
  <c r="L28" i="7"/>
  <c r="L30" i="7" s="1"/>
  <c r="L29" i="7"/>
  <c r="K28" i="7"/>
  <c r="K30" i="7" s="1"/>
  <c r="K29" i="7"/>
  <c r="J29" i="7"/>
  <c r="J28" i="7"/>
  <c r="J30" i="7" s="1"/>
  <c r="I29" i="7"/>
  <c r="I28" i="7"/>
  <c r="I30" i="7" s="1"/>
  <c r="H29" i="7"/>
  <c r="H28" i="7"/>
  <c r="H30" i="7" s="1"/>
  <c r="G29" i="7"/>
  <c r="G28" i="7"/>
  <c r="G30" i="7" s="1"/>
  <c r="F29" i="7"/>
  <c r="F28" i="7"/>
  <c r="F30" i="7" s="1"/>
  <c r="E29" i="7"/>
  <c r="E28" i="7"/>
  <c r="E30" i="7" s="1"/>
  <c r="N28" i="7"/>
  <c r="N30" i="7" s="1"/>
  <c r="N29" i="7"/>
  <c r="D28" i="7"/>
  <c r="D30" i="7" s="1"/>
  <c r="D29" i="7"/>
  <c r="C113" i="7" l="1"/>
  <c r="C85" i="7"/>
  <c r="C57" i="7"/>
  <c r="C27" i="7"/>
  <c r="C28" i="7" l="1"/>
  <c r="O28" i="7" s="1"/>
  <c r="C29" i="7"/>
  <c r="C30" i="7" l="1"/>
  <c r="O30" i="7" l="1"/>
  <c r="P30" i="7" s="1"/>
  <c r="D28" i="1"/>
  <c r="D8" i="1"/>
  <c r="D7" i="1"/>
  <c r="D6" i="1"/>
  <c r="C191" i="1" s="1"/>
  <c r="D5" i="1"/>
  <c r="D4" i="1"/>
  <c r="C194" i="1" l="1"/>
  <c r="C203" i="1"/>
  <c r="C202" i="1"/>
  <c r="K26" i="4" s="1"/>
  <c r="C195" i="1"/>
  <c r="C196" i="1"/>
  <c r="C65" i="1"/>
  <c r="E6" i="1"/>
  <c r="E121" i="1"/>
  <c r="E100" i="1"/>
  <c r="D115" i="1" s="1"/>
  <c r="G79" i="1"/>
  <c r="D94" i="1" s="1"/>
  <c r="E59" i="1"/>
  <c r="E39" i="1"/>
  <c r="M11" i="4" l="1"/>
  <c r="D195" i="1"/>
  <c r="N11" i="4" s="1"/>
  <c r="O11" i="4"/>
  <c r="D196" i="1"/>
  <c r="P11" i="4" s="1"/>
  <c r="C204" i="1"/>
  <c r="O26" i="4" s="1"/>
  <c r="M26" i="4"/>
  <c r="D194" i="1"/>
  <c r="L11" i="4" s="1"/>
  <c r="K11" i="4"/>
  <c r="D136" i="1"/>
  <c r="L24" i="4" s="1"/>
  <c r="D138" i="1"/>
  <c r="D74" i="1"/>
  <c r="E74" i="1"/>
  <c r="D73" i="1"/>
  <c r="L21" i="4" s="1"/>
  <c r="E73" i="1"/>
  <c r="C73" i="1"/>
  <c r="K21" i="4" s="1"/>
  <c r="D75" i="1"/>
  <c r="E75" i="1"/>
  <c r="D116" i="1"/>
  <c r="D117" i="1"/>
  <c r="D137" i="1"/>
  <c r="D96" i="1"/>
  <c r="D95" i="1"/>
  <c r="E4" i="1"/>
  <c r="E7" i="1"/>
  <c r="E8" i="1"/>
  <c r="E5" i="1"/>
  <c r="I29" i="4" l="1"/>
  <c r="I30" i="4" s="1"/>
  <c r="O14" i="4"/>
  <c r="E14" i="4"/>
  <c r="E15" i="4" s="1"/>
  <c r="H254" i="1"/>
  <c r="D254" i="1" s="1"/>
  <c r="H253" i="1"/>
  <c r="D253" i="1" s="1"/>
  <c r="H252" i="1"/>
  <c r="D252" i="1" s="1"/>
  <c r="H251" i="1"/>
  <c r="D251" i="1" s="1"/>
  <c r="C14" i="4"/>
  <c r="C15" i="4" s="1"/>
  <c r="K29" i="4"/>
  <c r="C29" i="4"/>
  <c r="K14" i="4"/>
  <c r="E53" i="1"/>
  <c r="C124" i="1"/>
  <c r="C121" i="1"/>
  <c r="E79" i="1"/>
  <c r="C79" i="1"/>
  <c r="H245" i="1"/>
  <c r="D245" i="1" s="1"/>
  <c r="H246" i="1"/>
  <c r="D246" i="1" s="1"/>
  <c r="H247" i="1"/>
  <c r="D247" i="1" s="1"/>
  <c r="H248" i="1"/>
  <c r="D248" i="1" s="1"/>
  <c r="O29" i="4"/>
  <c r="M29" i="4"/>
  <c r="D53" i="1"/>
  <c r="P23" i="4"/>
  <c r="D35" i="1"/>
  <c r="C30" i="4" l="1"/>
  <c r="C137" i="1"/>
  <c r="C138" i="1"/>
  <c r="C136" i="1"/>
  <c r="K24" i="4" s="1"/>
  <c r="C95" i="1"/>
  <c r="C96" i="1"/>
  <c r="C94" i="1"/>
  <c r="G239" i="1"/>
  <c r="D257" i="1" s="1"/>
  <c r="C127" i="1"/>
  <c r="P22" i="4"/>
  <c r="D255" i="1"/>
  <c r="D249" i="1"/>
  <c r="D14" i="4"/>
  <c r="D15" i="4" s="1"/>
  <c r="D29" i="4"/>
  <c r="D30" i="4" s="1"/>
  <c r="L29" i="4"/>
  <c r="F14" i="4"/>
  <c r="F15" i="4" s="1"/>
  <c r="F29" i="4"/>
  <c r="F30" i="4" s="1"/>
  <c r="J14" i="4"/>
  <c r="J15" i="4" s="1"/>
  <c r="J29" i="4"/>
  <c r="J30" i="4" s="1"/>
  <c r="H14" i="4"/>
  <c r="H15" i="4" s="1"/>
  <c r="G14" i="4"/>
  <c r="G15" i="4" s="1"/>
  <c r="M14" i="4"/>
  <c r="I14" i="4"/>
  <c r="I15" i="4" s="1"/>
  <c r="P14" i="4"/>
  <c r="E29" i="4"/>
  <c r="D48" i="1"/>
  <c r="E55" i="1"/>
  <c r="N21" i="4"/>
  <c r="C70" i="1"/>
  <c r="O5" i="4" s="1"/>
  <c r="E54" i="1"/>
  <c r="C75" i="1"/>
  <c r="O21" i="4" s="1"/>
  <c r="D55" i="1"/>
  <c r="P28" i="4" s="1"/>
  <c r="D34" i="1"/>
  <c r="C68" i="1"/>
  <c r="D54" i="1"/>
  <c r="P21" i="4"/>
  <c r="D33" i="1"/>
  <c r="L28" i="4" s="1"/>
  <c r="L22" i="4"/>
  <c r="P24" i="4"/>
  <c r="N24" i="4"/>
  <c r="N22" i="4"/>
  <c r="C85" i="1"/>
  <c r="C86" i="1"/>
  <c r="C87" i="1"/>
  <c r="C128" i="1"/>
  <c r="C129" i="1"/>
  <c r="C74" i="1"/>
  <c r="M21" i="4" s="1"/>
  <c r="C69" i="1"/>
  <c r="M5" i="4" s="1"/>
  <c r="N23" i="4"/>
  <c r="L23" i="4"/>
  <c r="H283" i="1" l="1"/>
  <c r="D283" i="1"/>
  <c r="H276" i="1"/>
  <c r="D276" i="1"/>
  <c r="H269" i="1"/>
  <c r="D269" i="1"/>
  <c r="F257" i="1"/>
  <c r="E30" i="4"/>
  <c r="I257" i="1"/>
  <c r="K5" i="4"/>
  <c r="D68" i="1"/>
  <c r="L5" i="4" s="1"/>
  <c r="M6" i="4"/>
  <c r="M22" i="4"/>
  <c r="O6" i="4"/>
  <c r="O22" i="4"/>
  <c r="K6" i="4"/>
  <c r="K22" i="4"/>
  <c r="D127" i="1"/>
  <c r="L8" i="4" s="1"/>
  <c r="N14" i="4"/>
  <c r="P29" i="4"/>
  <c r="N29" i="4"/>
  <c r="G29" i="4"/>
  <c r="G30" i="4" s="1"/>
  <c r="H29" i="4"/>
  <c r="H30" i="4" s="1"/>
  <c r="L14" i="4"/>
  <c r="D70" i="1"/>
  <c r="P5" i="4" s="1"/>
  <c r="K13" i="4"/>
  <c r="D29" i="1"/>
  <c r="N28" i="4"/>
  <c r="D49" i="1"/>
  <c r="M13" i="4"/>
  <c r="D30" i="1"/>
  <c r="O13" i="4"/>
  <c r="D50" i="1"/>
  <c r="L13" i="4"/>
  <c r="D69" i="1"/>
  <c r="N5" i="4" s="1"/>
  <c r="N7" i="4"/>
  <c r="M7" i="4"/>
  <c r="D128" i="1"/>
  <c r="N8" i="4" s="1"/>
  <c r="M8" i="4"/>
  <c r="L7" i="4"/>
  <c r="K7" i="4"/>
  <c r="M24" i="4"/>
  <c r="O24" i="4"/>
  <c r="M23" i="4"/>
  <c r="O23" i="4"/>
  <c r="D129" i="1"/>
  <c r="P8" i="4" s="1"/>
  <c r="O8" i="4"/>
  <c r="D86" i="1"/>
  <c r="N6" i="4" s="1"/>
  <c r="P7" i="4"/>
  <c r="O7" i="4"/>
  <c r="K8" i="4"/>
  <c r="K23" i="4"/>
  <c r="D87" i="1"/>
  <c r="P6" i="4" s="1"/>
  <c r="D85" i="1"/>
  <c r="L6" i="4" s="1"/>
  <c r="J269" i="1" l="1"/>
  <c r="J276" i="1"/>
  <c r="J283" i="1"/>
  <c r="F283" i="1"/>
  <c r="F276" i="1"/>
  <c r="F269" i="1"/>
  <c r="N13" i="4"/>
  <c r="P13" i="4"/>
  <c r="G242" i="1" l="1"/>
  <c r="D260" i="1" s="1"/>
  <c r="F260" i="1" l="1"/>
  <c r="D272" i="1"/>
  <c r="H279" i="1"/>
  <c r="H286" i="1"/>
  <c r="D286" i="1"/>
  <c r="D279" i="1"/>
  <c r="H272" i="1"/>
  <c r="I260" i="1"/>
  <c r="J279" i="1" s="1"/>
  <c r="J272" i="1" l="1"/>
  <c r="J286" i="1"/>
  <c r="F286" i="1"/>
  <c r="F279" i="1"/>
  <c r="F272" i="1"/>
  <c r="G241" i="1"/>
  <c r="G240" i="1"/>
  <c r="I258" i="1" l="1"/>
  <c r="D258" i="1"/>
  <c r="D259" i="1"/>
  <c r="I259" i="1"/>
  <c r="J278" i="1" s="1"/>
  <c r="D261" i="1" l="1"/>
  <c r="J284" i="1"/>
  <c r="J277" i="1"/>
  <c r="J270" i="1"/>
  <c r="J271" i="1"/>
  <c r="J285" i="1"/>
  <c r="H278" i="1"/>
  <c r="H285" i="1"/>
  <c r="D285" i="1"/>
  <c r="D278" i="1"/>
  <c r="H271" i="1"/>
  <c r="D271" i="1"/>
  <c r="H284" i="1"/>
  <c r="D284" i="1"/>
  <c r="D277" i="1"/>
  <c r="H270" i="1"/>
  <c r="D270" i="1"/>
  <c r="H277" i="1"/>
  <c r="I261" i="1"/>
  <c r="F258" i="1"/>
  <c r="F259" i="1"/>
  <c r="F284" i="1" l="1"/>
  <c r="F277" i="1"/>
  <c r="F270" i="1"/>
  <c r="F285" i="1"/>
  <c r="F278" i="1"/>
  <c r="F271" i="1"/>
  <c r="F261" i="1"/>
  <c r="H273" i="1"/>
  <c r="K20" i="4" s="1"/>
  <c r="K30" i="4" s="1"/>
  <c r="J273" i="1"/>
  <c r="L20" i="4" s="1"/>
  <c r="L30" i="4" s="1"/>
  <c r="J287" i="1"/>
  <c r="P20" i="4" s="1"/>
  <c r="P30" i="4" s="1"/>
  <c r="H280" i="1"/>
  <c r="M20" i="4" s="1"/>
  <c r="M30" i="4" s="1"/>
  <c r="D287" i="1"/>
  <c r="O4" i="4" s="1"/>
  <c r="O15" i="4" s="1"/>
  <c r="D273" i="1"/>
  <c r="K4" i="4" s="1"/>
  <c r="K15" i="4" s="1"/>
  <c r="D280" i="1"/>
  <c r="M4" i="4" s="1"/>
  <c r="M15" i="4" s="1"/>
  <c r="H287" i="1"/>
  <c r="O20" i="4" s="1"/>
  <c r="O30" i="4" s="1"/>
  <c r="J280" i="1" l="1"/>
  <c r="N20" i="4" s="1"/>
  <c r="N30" i="4" s="1"/>
  <c r="F287" i="1"/>
  <c r="P4" i="4" s="1"/>
  <c r="P15" i="4" s="1"/>
  <c r="F273" i="1"/>
  <c r="L4" i="4" s="1"/>
  <c r="L15" i="4" s="1"/>
  <c r="F280" i="1"/>
  <c r="N4" i="4" s="1"/>
  <c r="N15" i="4" s="1"/>
</calcChain>
</file>

<file path=xl/sharedStrings.xml><?xml version="1.0" encoding="utf-8"?>
<sst xmlns="http://schemas.openxmlformats.org/spreadsheetml/2006/main" count="670" uniqueCount="233">
  <si>
    <t>Max tph</t>
  </si>
  <si>
    <t>total concrete</t>
  </si>
  <si>
    <t>aggregate</t>
  </si>
  <si>
    <t>sand</t>
  </si>
  <si>
    <t>cement</t>
  </si>
  <si>
    <t>flyash</t>
  </si>
  <si>
    <t>water</t>
  </si>
  <si>
    <t>cuyd/hr</t>
  </si>
  <si>
    <t>MPH</t>
  </si>
  <si>
    <t>%</t>
  </si>
  <si>
    <t>lb/hr</t>
  </si>
  <si>
    <t>lbs/hr</t>
  </si>
  <si>
    <t>Cement Truck VMT</t>
  </si>
  <si>
    <t>Flyash Truck VMT</t>
  </si>
  <si>
    <t>Aggregate Truck VMT</t>
  </si>
  <si>
    <t>Concrete Truck VMT</t>
  </si>
  <si>
    <t>Max. Cement Truck/hr</t>
  </si>
  <si>
    <t>Max. Aggregate Truck/hr</t>
  </si>
  <si>
    <t>Max. Concrete Truck/hr</t>
  </si>
  <si>
    <t>truck/hr</t>
  </si>
  <si>
    <t>Cement Truck weight</t>
  </si>
  <si>
    <t>Flyash Truck weight</t>
  </si>
  <si>
    <t>Aggregate Truck weight</t>
  </si>
  <si>
    <t>Concrete Truck weight</t>
  </si>
  <si>
    <t>Max. Cement Truck Emissions</t>
  </si>
  <si>
    <t>Max. Flyash Truck Emissions</t>
  </si>
  <si>
    <t>Max. Aggregate Truck Emissions</t>
  </si>
  <si>
    <t>Max. Concrete Truck Emissions</t>
  </si>
  <si>
    <t>PM10 Control</t>
  </si>
  <si>
    <t>tons/hr</t>
  </si>
  <si>
    <t>tons/load</t>
  </si>
  <si>
    <t>PM10 Uncontrolled</t>
  </si>
  <si>
    <t>Equation:</t>
  </si>
  <si>
    <t>k PM10</t>
  </si>
  <si>
    <t>E(PM10) =</t>
  </si>
  <si>
    <t>E(pm10) Controlled</t>
  </si>
  <si>
    <t>Aggregate Storage Pile Handling</t>
  </si>
  <si>
    <t>Sand Storage Pile Handling</t>
  </si>
  <si>
    <t>Aggregate Bin Loading</t>
  </si>
  <si>
    <t>cuyd/day</t>
  </si>
  <si>
    <t>AP-42 13.2.4</t>
  </si>
  <si>
    <t>E = k x (0.0032) x (U/5)^1.3 / (M/2)^1.4 lbs/ton</t>
  </si>
  <si>
    <t>k(pm10)</t>
  </si>
  <si>
    <t>M</t>
  </si>
  <si>
    <t>tph</t>
  </si>
  <si>
    <t>ton/day</t>
  </si>
  <si>
    <t>lbs/ton</t>
  </si>
  <si>
    <t>Max. Flyash Truck/hr</t>
  </si>
  <si>
    <t>E(pm10) Uncontrolled</t>
  </si>
  <si>
    <t>Emission Factors</t>
  </si>
  <si>
    <t>CO</t>
  </si>
  <si>
    <t>VOC</t>
  </si>
  <si>
    <t>PM</t>
  </si>
  <si>
    <t>NOx</t>
  </si>
  <si>
    <t>Uncontrolled Cement Silo Loading PM10</t>
  </si>
  <si>
    <t>hrs/yr</t>
  </si>
  <si>
    <t>ton/yr</t>
  </si>
  <si>
    <t>tons/yr</t>
  </si>
  <si>
    <t>Typical cuyd of concrete</t>
  </si>
  <si>
    <t>Annual emissions only include p factor</t>
  </si>
  <si>
    <t>total combined traffic</t>
  </si>
  <si>
    <t>Uncontrolled hrs/yr of operation</t>
  </si>
  <si>
    <t>Calculated Uncontrolled Emissions</t>
  </si>
  <si>
    <t>Calculated Controlled Emissions</t>
  </si>
  <si>
    <t>Uncontrolled Hours</t>
  </si>
  <si>
    <t>Controlled Hours</t>
  </si>
  <si>
    <t>SO2</t>
  </si>
  <si>
    <t>E(pm2.5) Controlled</t>
  </si>
  <si>
    <t>k(pm2.5)</t>
  </si>
  <si>
    <t>E(pm2.5) Uncontrolled</t>
  </si>
  <si>
    <t>AP-42 11.19.2 Table 11.19.2-2 "Conveyor Transfer Point"</t>
  </si>
  <si>
    <t>E(PM2.5) =</t>
  </si>
  <si>
    <t>Uncontrolled Emission Totals</t>
  </si>
  <si>
    <t>ID #</t>
  </si>
  <si>
    <t>Source Description</t>
  </si>
  <si>
    <t>PM10</t>
  </si>
  <si>
    <t>Cement/Fly Ash Batcher</t>
  </si>
  <si>
    <t>Haul Road</t>
  </si>
  <si>
    <t>Total</t>
  </si>
  <si>
    <t>Controlled Emission Totals</t>
  </si>
  <si>
    <t>PM2.5</t>
  </si>
  <si>
    <t>Aggregate Weigh Batcher and Conveyor</t>
  </si>
  <si>
    <t>PM2.5 Uncontrolled</t>
  </si>
  <si>
    <t>PM2.5 Control</t>
  </si>
  <si>
    <t>Aggregate and Sand Feeder Loading</t>
  </si>
  <si>
    <t>Aggregate and Sand Feeder Unloading</t>
  </si>
  <si>
    <t>cuyd/load</t>
  </si>
  <si>
    <t>miles/yr uncontrolled</t>
  </si>
  <si>
    <t>miles/yr controlled</t>
  </si>
  <si>
    <t xml:space="preserve"> NOx, CO, VOC and PM Emissions</t>
  </si>
  <si>
    <t>cuyd/yr</t>
  </si>
  <si>
    <t>Hours per year of operation based on annual throughput</t>
  </si>
  <si>
    <t>AP-42 Section 11.12, Table 11.12-2, footnote b</t>
  </si>
  <si>
    <t>Concrete Trucks</t>
  </si>
  <si>
    <t>Aggregate Trucks</t>
  </si>
  <si>
    <t>Max. Cement Truck/yr</t>
  </si>
  <si>
    <t>Max. Flyash Truck/yr</t>
  </si>
  <si>
    <t>Max. Aggregate Truck/yr</t>
  </si>
  <si>
    <t>Max. Concrete Truck/yr</t>
  </si>
  <si>
    <t>truck/yr</t>
  </si>
  <si>
    <t>Cement/Fly Ash Weigh Batcher</t>
  </si>
  <si>
    <t>Concrete Batch Heater</t>
  </si>
  <si>
    <t>Heat Rate</t>
  </si>
  <si>
    <t>Truck Loading</t>
  </si>
  <si>
    <t>Controlled based on baghouse exit control efficiency of 99.9%</t>
  </si>
  <si>
    <t>Control Efficiency</t>
  </si>
  <si>
    <t>E(pm10) controlled truck load</t>
  </si>
  <si>
    <t>E(pm2.5) controlled truck load</t>
  </si>
  <si>
    <t>pound/yd</t>
  </si>
  <si>
    <t>(not a requested permit limit)</t>
  </si>
  <si>
    <t>Calculated weighted average aggregate and sand</t>
  </si>
  <si>
    <t>5,6</t>
  </si>
  <si>
    <t>Cement Silo</t>
  </si>
  <si>
    <t>Limit Annual Material Throughput</t>
  </si>
  <si>
    <t>RT miles/vehicle</t>
  </si>
  <si>
    <t>RT miles/hr</t>
  </si>
  <si>
    <t>k(PM)</t>
  </si>
  <si>
    <t>E(PM) Uncontrolled</t>
  </si>
  <si>
    <t>E(PM) Controlled</t>
  </si>
  <si>
    <t xml:space="preserve">E(PM) = </t>
  </si>
  <si>
    <t>E(PM) controlled truck load</t>
  </si>
  <si>
    <t>Uncontrolled Cement Silo Loading PM</t>
  </si>
  <si>
    <t>PM Uncontrolled</t>
  </si>
  <si>
    <t>PM Control</t>
  </si>
  <si>
    <t>SO2 Emissions</t>
  </si>
  <si>
    <t>January</t>
  </si>
  <si>
    <t>February</t>
  </si>
  <si>
    <t>March</t>
  </si>
  <si>
    <t>April</t>
  </si>
  <si>
    <t>May</t>
  </si>
  <si>
    <t>June</t>
  </si>
  <si>
    <t>July</t>
  </si>
  <si>
    <t>Augst</t>
  </si>
  <si>
    <t>September</t>
  </si>
  <si>
    <t>October</t>
  </si>
  <si>
    <t>November</t>
  </si>
  <si>
    <t>December</t>
  </si>
  <si>
    <t>Feeder Hopper</t>
  </si>
  <si>
    <t>Feed Hopper Conveyor</t>
  </si>
  <si>
    <t xml:space="preserve">4-Bin Aggregate Bin </t>
  </si>
  <si>
    <t>RT meter/vehicle</t>
  </si>
  <si>
    <t>Max. plant capacity</t>
  </si>
  <si>
    <t>tons/average</t>
  </si>
  <si>
    <t>(15 ton truck tare)</t>
  </si>
  <si>
    <t>Umax</t>
  </si>
  <si>
    <t>Uannual</t>
  </si>
  <si>
    <t>NMED Default</t>
  </si>
  <si>
    <t>Ruidoso Airport WS 1996-2006</t>
  </si>
  <si>
    <t>Model lbs/hr</t>
  </si>
  <si>
    <t>7,8</t>
  </si>
  <si>
    <t>Truck Loading and Cement/Fly Ash Batcher Baghouse</t>
  </si>
  <si>
    <t>Uncontrolled emissions based on AP-42 Section 11.12 "Concrete Batching" Table 11.12-2 "Uncontrolled Truck Loading"</t>
  </si>
  <si>
    <t>Uncontrolled Mixer Loading PM</t>
  </si>
  <si>
    <t>Uncontrolled Mixer Loading PM10</t>
  </si>
  <si>
    <t>Max tph Cement and Flyash</t>
  </si>
  <si>
    <t>Uncontrolled emissions based on AP-42 Section 11.12 "Concrete Batching" Table 11.12-2 "Uncontrolled Mixer Loading"</t>
  </si>
  <si>
    <t>E(pm) uncontrolled batcher</t>
  </si>
  <si>
    <t>E(pm10) uncontrolled batcher</t>
  </si>
  <si>
    <t>E(pm2.5) uncontrolled batcher</t>
  </si>
  <si>
    <t>Uncontrolled emissions based on AP-42 Section 11.12 "Concrete Batching" Table 11.12-2 "Cement Unloading to Elevated Storage Silo"</t>
  </si>
  <si>
    <t>Max tph Cement</t>
  </si>
  <si>
    <t>E(pm) uncontrolled cement</t>
  </si>
  <si>
    <t>E(pm10) uncontrolled cement</t>
  </si>
  <si>
    <t>E(pm2.5) uncontrolled cement</t>
  </si>
  <si>
    <t>Uncontrolled emissions based on AP-42 Section 11.12 "Concrete Batching" Table 11.12-2 "Cement Supplement Unloading to Elevated Storage Silo"</t>
  </si>
  <si>
    <t>Max tph Fly Ash</t>
  </si>
  <si>
    <t>E(pm) uncontrolled fly ash</t>
  </si>
  <si>
    <t>E(pm10) uncontrolled fly ash</t>
  </si>
  <si>
    <t>E(pm2.5) uncontrolled fly ash</t>
  </si>
  <si>
    <t>E(pm10) uncontrolled truck loading</t>
  </si>
  <si>
    <t>E(pm) uncontrolled truck loading</t>
  </si>
  <si>
    <t>E(pm2.5) uncontrolled truck loading</t>
  </si>
  <si>
    <t>Flyash Silo</t>
  </si>
  <si>
    <t>E(PM) controlled batcher</t>
  </si>
  <si>
    <t>E(pm10) controlled batcher</t>
  </si>
  <si>
    <t>E(pm2.5) controlled batcher</t>
  </si>
  <si>
    <t>E(PM) controlled cement</t>
  </si>
  <si>
    <t>E(pm10) controlled cement</t>
  </si>
  <si>
    <t>E(pm2.5) controlled cement</t>
  </si>
  <si>
    <t>Fly Ash Split Silo</t>
  </si>
  <si>
    <t>Cement Split Silo</t>
  </si>
  <si>
    <t>Fly Ash Split Silo Baghouse</t>
  </si>
  <si>
    <t>Cement Split Silo Bahouse</t>
  </si>
  <si>
    <t>Uncontrolled Truck Loading PM</t>
  </si>
  <si>
    <t>Uncontrolled Truck Loading PM10</t>
  </si>
  <si>
    <t>Uncontrolled Truck Loading PM2.5, Truck Loading Table 11.12-3 PM10 * PM2.5/PM10 (0.05/0.278)</t>
  </si>
  <si>
    <t>E(PM) controlled truck loading</t>
  </si>
  <si>
    <t>E(pm10) controlled truck loading</t>
  </si>
  <si>
    <t>E(pm2.5) controlled truck loading</t>
  </si>
  <si>
    <t>Controlled Truck Loading PM2.5, Truck Loading Table 11.12-3 PM10 * PM2.5/PM10 (0.048/0.32)</t>
  </si>
  <si>
    <t>Uncontrolled Mixer Loading PM2.5, Central Mix Operation Table 11.12-4 PM10 * PM2.5/PM10 (0.38/1.92)</t>
  </si>
  <si>
    <t>E = k(sL)^0.91*(W)^1.02*[1-P/4N]</t>
  </si>
  <si>
    <t>k TSP</t>
  </si>
  <si>
    <t>k PM25</t>
  </si>
  <si>
    <t>sL</t>
  </si>
  <si>
    <t>road surface silt loading (g/m2)</t>
  </si>
  <si>
    <t>P = days with precipitation over 0.01 inches</t>
  </si>
  <si>
    <t>N = number of days in averaging period</t>
  </si>
  <si>
    <t>Road Traffic - Paved</t>
  </si>
  <si>
    <t>Month</t>
  </si>
  <si>
    <t>Operating Time</t>
  </si>
  <si>
    <t>Monthly Throughput
(CuYd/Day)</t>
  </si>
  <si>
    <t>Nov - Feb</t>
  </si>
  <si>
    <t>Mar, Oct</t>
  </si>
  <si>
    <t>7 AM - 6 PM</t>
  </si>
  <si>
    <t>3 AM - 9 PM</t>
  </si>
  <si>
    <t>Heater Size</t>
  </si>
  <si>
    <t>Natural Gas</t>
  </si>
  <si>
    <t>BTU/hr</t>
  </si>
  <si>
    <t>BTU/scf</t>
  </si>
  <si>
    <t>scf/hr</t>
  </si>
  <si>
    <t>%sulfur</t>
  </si>
  <si>
    <t>grains/100 scf</t>
  </si>
  <si>
    <t>lbs/10^6 scf</t>
  </si>
  <si>
    <t>tpy</t>
  </si>
  <si>
    <t>SOx</t>
  </si>
  <si>
    <t>Mass Balance</t>
  </si>
  <si>
    <t>Apr, Sep</t>
  </si>
  <si>
    <t>May - Aug</t>
  </si>
  <si>
    <t>4 AM - 9 PM</t>
  </si>
  <si>
    <t>5 AM - 7 PM</t>
  </si>
  <si>
    <t>Aggregate Weight Batcher Unloading to Batcher Conveyor</t>
  </si>
  <si>
    <t>Controlled Mixer Loading PM2.5, Central Mix Operation Table 11.12-4 PM10 * PM2.5/PM10 (0.03/0.13)</t>
  </si>
  <si>
    <t>AP-42 1.4 (7/98)</t>
  </si>
  <si>
    <t>Aggregate/Sand Storage Piles</t>
  </si>
  <si>
    <t>AP-42 13.2.1</t>
  </si>
  <si>
    <t>round trip (RT) meters</t>
  </si>
  <si>
    <t>AP-42 Rated: A</t>
  </si>
  <si>
    <t>AP-42 Rated: E</t>
  </si>
  <si>
    <t>AP-42 Rated: B</t>
  </si>
  <si>
    <t>AP-42 Rated: D</t>
  </si>
  <si>
    <t>12,13,14</t>
  </si>
  <si>
    <t>Concrete Batch Plant Heaters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</si>
</sst>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000"/>
    <numFmt numFmtId="167" formatCode="0.0000"/>
    <numFmt numFmtId="168" formatCode="0.000"/>
    <numFmt numFmtId="169" formatCode="0.0%"/>
  </numFmts>
  <fonts count="10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9.75"/>
      <name val="Arial"/>
      <family val="2"/>
    </font>
    <font>
      <sz val="9.75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1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2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right"/>
    </xf>
    <xf numFmtId="168" fontId="0" fillId="0" borderId="0" xfId="0" applyNumberFormat="1"/>
    <xf numFmtId="165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center" wrapText="1"/>
    </xf>
    <xf numFmtId="1" fontId="1" fillId="0" borderId="4" xfId="0" applyNumberFormat="1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1" fillId="0" borderId="4" xfId="0" applyFont="1" applyBorder="1" applyAlignment="1">
      <alignment horizontal="right"/>
    </xf>
    <xf numFmtId="168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/>
    <xf numFmtId="18" fontId="0" fillId="0" borderId="0" xfId="0" applyNumberFormat="1"/>
    <xf numFmtId="165" fontId="0" fillId="0" borderId="17" xfId="0" applyNumberFormat="1" applyBorder="1"/>
    <xf numFmtId="0" fontId="0" fillId="0" borderId="17" xfId="0" applyBorder="1"/>
    <xf numFmtId="0" fontId="2" fillId="0" borderId="17" xfId="0" applyFont="1" applyBorder="1"/>
    <xf numFmtId="1" fontId="0" fillId="0" borderId="0" xfId="0" applyNumberFormat="1" applyAlignment="1">
      <alignment horizontal="right"/>
    </xf>
    <xf numFmtId="167" fontId="0" fillId="0" borderId="0" xfId="0" applyNumberFormat="1"/>
    <xf numFmtId="3" fontId="0" fillId="0" borderId="0" xfId="0" applyNumberFormat="1"/>
    <xf numFmtId="2" fontId="0" fillId="0" borderId="8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65" fontId="2" fillId="0" borderId="0" xfId="0" applyNumberFormat="1" applyFont="1"/>
    <xf numFmtId="0" fontId="0" fillId="0" borderId="0" xfId="0" applyAlignment="1">
      <alignment horizontal="center"/>
    </xf>
    <xf numFmtId="1" fontId="9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0" xfId="1" applyNumberFormat="1" applyFont="1"/>
    <xf numFmtId="165" fontId="0" fillId="0" borderId="5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8" fillId="0" borderId="0" xfId="3" applyNumberFormat="1" applyFont="1"/>
    <xf numFmtId="165" fontId="4" fillId="0" borderId="0" xfId="0" applyNumberFormat="1" applyFont="1"/>
    <xf numFmtId="0" fontId="2" fillId="0" borderId="1" xfId="0" applyFont="1" applyBorder="1" applyAlignment="1">
      <alignment horizontal="center" wrapText="1"/>
    </xf>
    <xf numFmtId="168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ill="1"/>
    <xf numFmtId="0" fontId="0" fillId="0" borderId="0" xfId="0" applyFill="1"/>
    <xf numFmtId="168" fontId="0" fillId="0" borderId="0" xfId="0" applyNumberFormat="1" applyFill="1"/>
    <xf numFmtId="167" fontId="0" fillId="0" borderId="0" xfId="0" applyNumberFormat="1" applyFill="1"/>
    <xf numFmtId="164" fontId="0" fillId="0" borderId="0" xfId="0" applyNumberFormat="1" applyFill="1"/>
    <xf numFmtId="164" fontId="1" fillId="0" borderId="4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4" fontId="0" fillId="0" borderId="17" xfId="0" applyNumberFormat="1" applyBorder="1"/>
    <xf numFmtId="2" fontId="0" fillId="0" borderId="17" xfId="0" applyNumberFormat="1" applyBorder="1"/>
    <xf numFmtId="166" fontId="0" fillId="0" borderId="0" xfId="0" applyNumberFormat="1" applyAlignment="1">
      <alignment horizontal="center"/>
    </xf>
    <xf numFmtId="10" fontId="0" fillId="0" borderId="0" xfId="0" applyNumberFormat="1"/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167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0" borderId="8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4">
    <cellStyle name="Normal" xfId="0" builtinId="0"/>
    <cellStyle name="Normal_Road Length" xfId="2" xr:uid="{C935DECE-9FFF-4C5A-9873-C026AAF603ED}"/>
    <cellStyle name="Normal_Road Length_1" xfId="1" xr:uid="{00000000-0005-0000-0000-000002000000}"/>
    <cellStyle name="Normal_Sheet1" xfId="3" xr:uid="{8FF208DE-EDE7-4EFD-BF9B-34679B6356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My%20Documents/C&amp;E%20Concrete/Milan%20Tinaja%20Lime%20Plant%20Relocation/C&amp;E%20Concrete%20HMA%20Emissions%20175%20tph%201122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Handling"/>
      <sheetName val="Engine"/>
      <sheetName val="Heaters"/>
      <sheetName val="Totals"/>
      <sheetName val="Model"/>
      <sheetName val="Depletion"/>
      <sheetName val="Hours"/>
      <sheetName val="Road"/>
      <sheetName val="border"/>
      <sheetName val="road calc"/>
    </sheetNames>
    <sheetDataSet>
      <sheetData sheetId="0">
        <row r="11">
          <cell r="D11">
            <v>6753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7"/>
  <sheetViews>
    <sheetView zoomScaleNormal="100" workbookViewId="0">
      <selection activeCell="D11" sqref="D11"/>
    </sheetView>
  </sheetViews>
  <sheetFormatPr defaultRowHeight="12.75" x14ac:dyDescent="0.2"/>
  <cols>
    <col min="1" max="1" width="22.5" customWidth="1"/>
    <col min="2" max="2" width="23.5" customWidth="1"/>
    <col min="3" max="10" width="12.33203125" customWidth="1"/>
    <col min="11" max="11" width="33.83203125" customWidth="1"/>
  </cols>
  <sheetData>
    <row r="1" spans="1:7" x14ac:dyDescent="0.2">
      <c r="A1" s="8" t="s">
        <v>58</v>
      </c>
    </row>
    <row r="2" spans="1:7" x14ac:dyDescent="0.2">
      <c r="A2" s="4"/>
      <c r="B2" s="5"/>
      <c r="C2" s="48" t="s">
        <v>108</v>
      </c>
      <c r="D2" s="48" t="s">
        <v>29</v>
      </c>
      <c r="E2" s="48" t="s">
        <v>57</v>
      </c>
    </row>
    <row r="3" spans="1:7" x14ac:dyDescent="0.2">
      <c r="A3" s="4" t="s">
        <v>1</v>
      </c>
      <c r="B3" s="5"/>
      <c r="C3" s="2">
        <v>3881</v>
      </c>
      <c r="D3" s="15">
        <f>+C3*cuydhr/2000</f>
        <v>242.5625</v>
      </c>
      <c r="E3" s="49">
        <f t="shared" ref="E3:E8" si="0">+D3*D$14</f>
        <v>970250</v>
      </c>
    </row>
    <row r="4" spans="1:7" x14ac:dyDescent="0.2">
      <c r="A4" s="4" t="s">
        <v>2</v>
      </c>
      <c r="B4" s="5"/>
      <c r="C4" s="2">
        <v>1900</v>
      </c>
      <c r="D4" s="15">
        <f t="shared" ref="D4:D8" si="1">+C4*cuydhr/2000</f>
        <v>118.75</v>
      </c>
      <c r="E4" s="49">
        <f t="shared" si="0"/>
        <v>475000</v>
      </c>
    </row>
    <row r="5" spans="1:7" x14ac:dyDescent="0.2">
      <c r="A5" s="4" t="s">
        <v>3</v>
      </c>
      <c r="B5" s="5"/>
      <c r="C5" s="2">
        <v>1100</v>
      </c>
      <c r="D5" s="15">
        <f t="shared" si="1"/>
        <v>68.75</v>
      </c>
      <c r="E5" s="49">
        <f t="shared" si="0"/>
        <v>275000</v>
      </c>
      <c r="F5" s="12"/>
      <c r="G5" s="12"/>
    </row>
    <row r="6" spans="1:7" x14ac:dyDescent="0.2">
      <c r="A6" s="4" t="s">
        <v>4</v>
      </c>
      <c r="B6" s="5"/>
      <c r="C6" s="2">
        <v>489</v>
      </c>
      <c r="D6" s="15">
        <f t="shared" si="1"/>
        <v>30.5625</v>
      </c>
      <c r="E6" s="49">
        <f t="shared" si="0"/>
        <v>122250</v>
      </c>
    </row>
    <row r="7" spans="1:7" x14ac:dyDescent="0.2">
      <c r="A7" s="4" t="s">
        <v>5</v>
      </c>
      <c r="B7" s="5"/>
      <c r="C7" s="2">
        <v>132</v>
      </c>
      <c r="D7" s="15">
        <f t="shared" si="1"/>
        <v>8.25</v>
      </c>
      <c r="E7" s="49">
        <f t="shared" si="0"/>
        <v>33000</v>
      </c>
      <c r="F7" s="12"/>
      <c r="G7" s="58"/>
    </row>
    <row r="8" spans="1:7" x14ac:dyDescent="0.2">
      <c r="A8" s="4" t="s">
        <v>6</v>
      </c>
      <c r="B8" s="5"/>
      <c r="C8" s="2">
        <v>260</v>
      </c>
      <c r="D8" s="15">
        <f t="shared" si="1"/>
        <v>16.25</v>
      </c>
      <c r="E8" s="49">
        <f t="shared" si="0"/>
        <v>65000</v>
      </c>
    </row>
    <row r="9" spans="1:7" x14ac:dyDescent="0.2">
      <c r="D9" s="12"/>
      <c r="E9" s="101"/>
    </row>
    <row r="11" spans="1:7" x14ac:dyDescent="0.2">
      <c r="A11" s="10" t="s">
        <v>141</v>
      </c>
      <c r="D11" s="9">
        <v>125</v>
      </c>
      <c r="E11" s="16" t="s">
        <v>7</v>
      </c>
    </row>
    <row r="12" spans="1:7" x14ac:dyDescent="0.2">
      <c r="A12" s="10" t="s">
        <v>141</v>
      </c>
      <c r="D12" s="9">
        <v>1875</v>
      </c>
      <c r="E12" s="16" t="s">
        <v>39</v>
      </c>
    </row>
    <row r="13" spans="1:7" x14ac:dyDescent="0.2">
      <c r="A13" s="10" t="s">
        <v>141</v>
      </c>
      <c r="D13" s="9">
        <v>500000</v>
      </c>
      <c r="E13" s="35" t="s">
        <v>90</v>
      </c>
    </row>
    <row r="14" spans="1:7" x14ac:dyDescent="0.2">
      <c r="A14" s="10" t="s">
        <v>91</v>
      </c>
      <c r="D14" s="56">
        <f>+cuydyr/cuydhr</f>
        <v>4000</v>
      </c>
      <c r="E14" s="16" t="s">
        <v>55</v>
      </c>
      <c r="F14" s="10" t="s">
        <v>109</v>
      </c>
    </row>
    <row r="15" spans="1:7" x14ac:dyDescent="0.2">
      <c r="A15" t="s">
        <v>61</v>
      </c>
      <c r="D15" s="56">
        <v>8760</v>
      </c>
      <c r="E15" s="16" t="s">
        <v>55</v>
      </c>
    </row>
    <row r="17" spans="1:7" x14ac:dyDescent="0.2">
      <c r="A17" s="6" t="s">
        <v>36</v>
      </c>
      <c r="C17" s="8" t="s">
        <v>227</v>
      </c>
    </row>
    <row r="18" spans="1:7" x14ac:dyDescent="0.2">
      <c r="A18" t="s">
        <v>40</v>
      </c>
      <c r="C18" t="s">
        <v>41</v>
      </c>
    </row>
    <row r="19" spans="1:7" x14ac:dyDescent="0.2">
      <c r="A19" t="s">
        <v>0</v>
      </c>
      <c r="C19">
        <f>+agg/2000*cuydhr</f>
        <v>118.75</v>
      </c>
      <c r="D19" t="s">
        <v>44</v>
      </c>
      <c r="E19">
        <f>+agg/2000*cuydyr</f>
        <v>475000</v>
      </c>
      <c r="F19" t="s">
        <v>56</v>
      </c>
    </row>
    <row r="20" spans="1:7" x14ac:dyDescent="0.2">
      <c r="A20" t="s">
        <v>116</v>
      </c>
      <c r="C20">
        <v>0.74</v>
      </c>
    </row>
    <row r="21" spans="1:7" x14ac:dyDescent="0.2">
      <c r="A21" t="s">
        <v>42</v>
      </c>
      <c r="C21">
        <v>0.35</v>
      </c>
    </row>
    <row r="22" spans="1:7" x14ac:dyDescent="0.2">
      <c r="A22" t="s">
        <v>68</v>
      </c>
      <c r="C22">
        <v>5.2999999999999999E-2</v>
      </c>
    </row>
    <row r="23" spans="1:7" x14ac:dyDescent="0.2">
      <c r="A23" t="s">
        <v>144</v>
      </c>
      <c r="C23">
        <v>11</v>
      </c>
      <c r="D23" t="s">
        <v>8</v>
      </c>
      <c r="E23" t="s">
        <v>146</v>
      </c>
    </row>
    <row r="24" spans="1:7" x14ac:dyDescent="0.2">
      <c r="A24" t="s">
        <v>145</v>
      </c>
      <c r="C24">
        <v>8.3000000000000007</v>
      </c>
      <c r="D24" t="s">
        <v>8</v>
      </c>
      <c r="E24" t="s">
        <v>147</v>
      </c>
    </row>
    <row r="25" spans="1:7" x14ac:dyDescent="0.2">
      <c r="A25" t="s">
        <v>43</v>
      </c>
      <c r="C25">
        <v>1.77</v>
      </c>
      <c r="D25" t="s">
        <v>9</v>
      </c>
      <c r="E25" s="10" t="s">
        <v>92</v>
      </c>
    </row>
    <row r="26" spans="1:7" x14ac:dyDescent="0.2">
      <c r="F26" s="103"/>
      <c r="G26" s="103"/>
    </row>
    <row r="27" spans="1:7" x14ac:dyDescent="0.2">
      <c r="C27" s="3" t="s">
        <v>10</v>
      </c>
      <c r="D27" s="3" t="s">
        <v>57</v>
      </c>
    </row>
    <row r="28" spans="1:7" x14ac:dyDescent="0.2">
      <c r="A28" t="s">
        <v>117</v>
      </c>
      <c r="C28" s="7">
        <f>+C20*0.0032*(C23/5)^1.3/(C25/2)^1.4*C19</f>
        <v>0.92991707543603852</v>
      </c>
      <c r="D28" s="7">
        <f>+C28*unhrsyr/2000</f>
        <v>4.0730367904098488</v>
      </c>
    </row>
    <row r="29" spans="1:7" x14ac:dyDescent="0.2">
      <c r="A29" t="s">
        <v>48</v>
      </c>
      <c r="C29" s="7">
        <f>+C21*0.0032*(C23/5)^1.3/(C25/2)^1.4*C19</f>
        <v>0.43982564378731542</v>
      </c>
      <c r="D29" s="7">
        <f>+C29*unhrsyr/2000</f>
        <v>1.9264363197884415</v>
      </c>
    </row>
    <row r="30" spans="1:7" x14ac:dyDescent="0.2">
      <c r="A30" t="s">
        <v>69</v>
      </c>
      <c r="C30" s="7">
        <f>+C22*0.0032*(C23/5)^1.3/(C25/2)^1.4*C19</f>
        <v>6.6602168916364918E-2</v>
      </c>
      <c r="D30" s="7">
        <f>+C30*unhrsyr/2000</f>
        <v>0.29171749985367834</v>
      </c>
    </row>
    <row r="31" spans="1:7" x14ac:dyDescent="0.2">
      <c r="C31" s="7"/>
      <c r="D31" s="7"/>
    </row>
    <row r="32" spans="1:7" x14ac:dyDescent="0.2">
      <c r="C32" s="70" t="s">
        <v>10</v>
      </c>
      <c r="D32" s="70" t="s">
        <v>57</v>
      </c>
      <c r="E32" t="s">
        <v>148</v>
      </c>
    </row>
    <row r="33" spans="1:7" x14ac:dyDescent="0.2">
      <c r="A33" t="s">
        <v>118</v>
      </c>
      <c r="C33" s="7">
        <f>+C20*0.0032*(C23/5)^1.3/(C25/2)^1.4*C19</f>
        <v>0.92991707543603852</v>
      </c>
      <c r="D33" s="7">
        <f>+C20*0.0032*(C24/5)^1.3/(C25/2)^1.4*E19/2000</f>
        <v>1.2896303567507239</v>
      </c>
      <c r="E33" s="7">
        <f>+C20*0.0032*(C24/5)^1.3/(C25/2)^1.4*C19</f>
        <v>0.64481517837536195</v>
      </c>
      <c r="F33" s="10" t="s">
        <v>113</v>
      </c>
    </row>
    <row r="34" spans="1:7" x14ac:dyDescent="0.2">
      <c r="A34" t="s">
        <v>35</v>
      </c>
      <c r="C34" s="7">
        <f>+C21*0.0032*(C23/5)^1.3/(C25/2)^1.4*C19</f>
        <v>0.43982564378731542</v>
      </c>
      <c r="D34" s="7">
        <f>+C21*0.0032*(C24/5)^1.3/(C25/2)^1.4*E19/2000</f>
        <v>0.60996030386858557</v>
      </c>
      <c r="E34" s="7">
        <f>+C21*0.0032*(C24/5)^1.3/(C25/2)^1.4*C19</f>
        <v>0.30498015193429279</v>
      </c>
      <c r="F34" s="10" t="s">
        <v>113</v>
      </c>
    </row>
    <row r="35" spans="1:7" x14ac:dyDescent="0.2">
      <c r="A35" t="s">
        <v>67</v>
      </c>
      <c r="C35" s="7">
        <f>+C22*0.0032*(C23/5)^1.3/(C25/2)^1.4*C19</f>
        <v>6.6602168916364918E-2</v>
      </c>
      <c r="D35" s="7">
        <f>+C22*0.0032*(C24/5)^1.3/(C25/2)^1.4*E19/2000</f>
        <v>9.2365417442957246E-2</v>
      </c>
      <c r="E35" s="7">
        <f>+C22*0.0032*(C24/5)^1.3/(C25/2)^1.4*C19</f>
        <v>4.618270872147863E-2</v>
      </c>
      <c r="F35" s="10" t="s">
        <v>113</v>
      </c>
    </row>
    <row r="36" spans="1:7" x14ac:dyDescent="0.2">
      <c r="C36" s="1"/>
      <c r="D36" s="1"/>
    </row>
    <row r="37" spans="1:7" x14ac:dyDescent="0.2">
      <c r="A37" s="6" t="s">
        <v>37</v>
      </c>
      <c r="C37" s="8" t="s">
        <v>227</v>
      </c>
    </row>
    <row r="38" spans="1:7" x14ac:dyDescent="0.2">
      <c r="A38" t="s">
        <v>40</v>
      </c>
      <c r="C38" t="s">
        <v>41</v>
      </c>
    </row>
    <row r="39" spans="1:7" x14ac:dyDescent="0.2">
      <c r="A39" t="s">
        <v>0</v>
      </c>
      <c r="C39">
        <f>+sand/2000*cuydhr</f>
        <v>68.75</v>
      </c>
      <c r="D39" t="s">
        <v>44</v>
      </c>
      <c r="E39">
        <f>+sand/2000*cuydyr</f>
        <v>275000</v>
      </c>
      <c r="F39" t="s">
        <v>56</v>
      </c>
    </row>
    <row r="40" spans="1:7" x14ac:dyDescent="0.2">
      <c r="A40" t="s">
        <v>116</v>
      </c>
      <c r="C40">
        <v>0.74</v>
      </c>
    </row>
    <row r="41" spans="1:7" x14ac:dyDescent="0.2">
      <c r="A41" t="s">
        <v>42</v>
      </c>
      <c r="C41">
        <v>0.35</v>
      </c>
    </row>
    <row r="42" spans="1:7" x14ac:dyDescent="0.2">
      <c r="A42" t="s">
        <v>68</v>
      </c>
      <c r="C42">
        <v>5.2999999999999999E-2</v>
      </c>
    </row>
    <row r="43" spans="1:7" x14ac:dyDescent="0.2">
      <c r="A43" t="s">
        <v>144</v>
      </c>
      <c r="C43">
        <v>11</v>
      </c>
      <c r="D43" t="s">
        <v>8</v>
      </c>
      <c r="E43" t="s">
        <v>146</v>
      </c>
    </row>
    <row r="44" spans="1:7" x14ac:dyDescent="0.2">
      <c r="A44" t="s">
        <v>145</v>
      </c>
      <c r="C44">
        <v>8.3000000000000007</v>
      </c>
      <c r="D44" t="s">
        <v>8</v>
      </c>
      <c r="E44" t="s">
        <v>147</v>
      </c>
    </row>
    <row r="45" spans="1:7" x14ac:dyDescent="0.2">
      <c r="A45" t="s">
        <v>43</v>
      </c>
      <c r="C45">
        <v>4.17</v>
      </c>
      <c r="D45" t="s">
        <v>9</v>
      </c>
      <c r="E45" s="10" t="s">
        <v>92</v>
      </c>
    </row>
    <row r="46" spans="1:7" x14ac:dyDescent="0.2">
      <c r="F46" s="103"/>
      <c r="G46" s="103"/>
    </row>
    <row r="47" spans="1:7" x14ac:dyDescent="0.2">
      <c r="C47" s="3" t="s">
        <v>10</v>
      </c>
      <c r="D47" s="3" t="s">
        <v>57</v>
      </c>
    </row>
    <row r="48" spans="1:7" x14ac:dyDescent="0.2">
      <c r="A48" t="s">
        <v>117</v>
      </c>
      <c r="C48" s="7">
        <f>+C40*0.0032*(C43/5)^1.3/(C45/2)^1.4*C39</f>
        <v>0.1622017003530708</v>
      </c>
      <c r="D48" s="7">
        <f>+C48*unhrsyr/2000</f>
        <v>0.71044344754645006</v>
      </c>
    </row>
    <row r="49" spans="1:6" x14ac:dyDescent="0.2">
      <c r="A49" t="s">
        <v>48</v>
      </c>
      <c r="C49" s="7">
        <f>+C41*0.0032*(C43/5)^1.3/(C45/2)^1.4*C39</f>
        <v>7.6717020437263223E-2</v>
      </c>
      <c r="D49" s="7">
        <f>+C49*unhrsyr/2000</f>
        <v>0.33602054951521293</v>
      </c>
    </row>
    <row r="50" spans="1:6" x14ac:dyDescent="0.2">
      <c r="A50" t="s">
        <v>69</v>
      </c>
      <c r="C50" s="7">
        <f>+C42*0.0032*(C43/5)^1.3/(C45/2)^1.4*C39</f>
        <v>1.1617148809071288E-2</v>
      </c>
      <c r="D50" s="7">
        <f>+C50*unhrsyr/2000</f>
        <v>5.0883111783732241E-2</v>
      </c>
    </row>
    <row r="51" spans="1:6" x14ac:dyDescent="0.2">
      <c r="C51" s="7"/>
      <c r="D51" s="7"/>
    </row>
    <row r="52" spans="1:6" x14ac:dyDescent="0.2">
      <c r="C52" s="70" t="s">
        <v>10</v>
      </c>
      <c r="D52" s="70" t="s">
        <v>57</v>
      </c>
      <c r="E52" t="s">
        <v>148</v>
      </c>
    </row>
    <row r="53" spans="1:6" x14ac:dyDescent="0.2">
      <c r="A53" t="s">
        <v>118</v>
      </c>
      <c r="C53" s="7">
        <f>+C40*0.0032*(C43/5)^1.3/(C45/2)^1.4*C39</f>
        <v>0.1622017003530708</v>
      </c>
      <c r="D53" s="7">
        <f>+C40*0.0032*(C44/5)^1.3/(C45/2)^1.4*E39/2000</f>
        <v>0.2249450431844367</v>
      </c>
      <c r="E53" s="7">
        <f>+C40*0.0032*(C44/5)^1.3/(C45/2)^1.4*C39</f>
        <v>0.11247252159221835</v>
      </c>
      <c r="F53" s="10" t="s">
        <v>113</v>
      </c>
    </row>
    <row r="54" spans="1:6" x14ac:dyDescent="0.2">
      <c r="A54" t="s">
        <v>35</v>
      </c>
      <c r="C54" s="7">
        <f>+C41*0.0032*(C43/5)^1.3/(C45/2)^1.4*C39</f>
        <v>7.6717020437263223E-2</v>
      </c>
      <c r="D54" s="7">
        <f>+C41*0.0032*(C44/5)^1.3/(C45/2)^1.4*E39/2000</f>
        <v>0.10639292583047681</v>
      </c>
      <c r="E54" s="7">
        <f>+C41*0.0032*(C44/5)^1.3/(C45/2)^1.4*C39</f>
        <v>5.3196462915238406E-2</v>
      </c>
      <c r="F54" s="10" t="s">
        <v>113</v>
      </c>
    </row>
    <row r="55" spans="1:6" x14ac:dyDescent="0.2">
      <c r="A55" t="s">
        <v>67</v>
      </c>
      <c r="C55" s="7">
        <f>+C42*0.0032*(C43/5)^1.3/(C45/2)^1.4*C39</f>
        <v>1.1617148809071288E-2</v>
      </c>
      <c r="D55" s="7">
        <f>+C42*0.0032*(C44/5)^1.3/(C45/2)^1.4*E39/2000</f>
        <v>1.6110928768615064E-2</v>
      </c>
      <c r="E55" s="7">
        <f>+C42*0.0032*(C44/5)^1.3/(C45/2)^1.4*C39</f>
        <v>8.055464384307532E-3</v>
      </c>
      <c r="F55" s="10" t="s">
        <v>113</v>
      </c>
    </row>
    <row r="56" spans="1:6" x14ac:dyDescent="0.2">
      <c r="C56" s="1"/>
      <c r="D56" s="1"/>
    </row>
    <row r="57" spans="1:6" x14ac:dyDescent="0.2">
      <c r="A57" s="6" t="s">
        <v>84</v>
      </c>
      <c r="C57" s="8" t="s">
        <v>227</v>
      </c>
    </row>
    <row r="58" spans="1:6" x14ac:dyDescent="0.2">
      <c r="A58" t="s">
        <v>40</v>
      </c>
      <c r="C58" t="s">
        <v>41</v>
      </c>
    </row>
    <row r="59" spans="1:6" x14ac:dyDescent="0.2">
      <c r="A59" t="s">
        <v>0</v>
      </c>
      <c r="C59">
        <f>+(agg+sand)/2000*cuydhr</f>
        <v>187.5</v>
      </c>
      <c r="D59" t="s">
        <v>44</v>
      </c>
      <c r="E59">
        <f>+(agg+sand)/2000*cuydyr</f>
        <v>750000</v>
      </c>
      <c r="F59" t="s">
        <v>56</v>
      </c>
    </row>
    <row r="60" spans="1:6" x14ac:dyDescent="0.2">
      <c r="A60" t="s">
        <v>116</v>
      </c>
      <c r="C60">
        <v>0.74</v>
      </c>
    </row>
    <row r="61" spans="1:6" x14ac:dyDescent="0.2">
      <c r="A61" t="s">
        <v>42</v>
      </c>
      <c r="C61">
        <v>0.35</v>
      </c>
    </row>
    <row r="62" spans="1:6" x14ac:dyDescent="0.2">
      <c r="A62" t="s">
        <v>68</v>
      </c>
      <c r="C62">
        <v>5.2999999999999999E-2</v>
      </c>
    </row>
    <row r="63" spans="1:6" x14ac:dyDescent="0.2">
      <c r="A63" t="s">
        <v>144</v>
      </c>
      <c r="C63">
        <v>11</v>
      </c>
      <c r="D63" t="s">
        <v>8</v>
      </c>
      <c r="E63" t="s">
        <v>146</v>
      </c>
    </row>
    <row r="64" spans="1:6" x14ac:dyDescent="0.2">
      <c r="A64" t="s">
        <v>145</v>
      </c>
      <c r="C64">
        <v>8.3000000000000007</v>
      </c>
      <c r="D64" t="s">
        <v>8</v>
      </c>
      <c r="E64" t="s">
        <v>147</v>
      </c>
    </row>
    <row r="65" spans="1:8" x14ac:dyDescent="0.2">
      <c r="A65" t="s">
        <v>43</v>
      </c>
      <c r="C65">
        <f>+(C25*D4+C45*D5)/(D4+D5)</f>
        <v>2.65</v>
      </c>
      <c r="D65" t="s">
        <v>9</v>
      </c>
      <c r="E65" s="10" t="s">
        <v>110</v>
      </c>
    </row>
    <row r="66" spans="1:8" x14ac:dyDescent="0.2">
      <c r="F66" s="103"/>
      <c r="G66" s="103"/>
    </row>
    <row r="67" spans="1:8" x14ac:dyDescent="0.2">
      <c r="C67" s="3" t="s">
        <v>10</v>
      </c>
      <c r="D67" s="3" t="s">
        <v>57</v>
      </c>
    </row>
    <row r="68" spans="1:8" x14ac:dyDescent="0.2">
      <c r="A68" t="s">
        <v>117</v>
      </c>
      <c r="C68" s="7">
        <f>+C60*0.0032*(C63/5)^1.3/(C65/2)^1.4*C59</f>
        <v>0.8345074642940935</v>
      </c>
      <c r="D68" s="7">
        <f>+C68*unhrsyr/2000</f>
        <v>3.6551426936081293</v>
      </c>
    </row>
    <row r="69" spans="1:8" x14ac:dyDescent="0.2">
      <c r="A69" t="s">
        <v>48</v>
      </c>
      <c r="C69" s="7">
        <f>+C61*0.0032*(C63/5)^1.3/(C65/2)^1.4*C59</f>
        <v>0.39469947635531449</v>
      </c>
      <c r="D69" s="7">
        <f>+C69*unhrsyr/2000</f>
        <v>1.7287837064362774</v>
      </c>
    </row>
    <row r="70" spans="1:8" x14ac:dyDescent="0.2">
      <c r="A70" t="s">
        <v>69</v>
      </c>
      <c r="C70" s="7">
        <f>+C62*0.0032*(C63/5)^1.3/(C65/2)^1.4*C59</f>
        <v>5.9768777848090489E-2</v>
      </c>
      <c r="D70" s="7">
        <f>+C70*unhrsyr/2000</f>
        <v>0.26178724697463635</v>
      </c>
    </row>
    <row r="71" spans="1:8" x14ac:dyDescent="0.2">
      <c r="C71" s="7"/>
      <c r="D71" s="7"/>
    </row>
    <row r="72" spans="1:8" x14ac:dyDescent="0.2">
      <c r="C72" s="3" t="s">
        <v>10</v>
      </c>
      <c r="D72" s="3" t="s">
        <v>57</v>
      </c>
      <c r="E72" t="s">
        <v>148</v>
      </c>
    </row>
    <row r="73" spans="1:8" x14ac:dyDescent="0.2">
      <c r="A73" t="s">
        <v>117</v>
      </c>
      <c r="C73" s="7">
        <f>+C60*0.0032*(C63/5)^1.3/(C65/2)^1.4*C59</f>
        <v>0.8345074642940935</v>
      </c>
      <c r="D73" s="7">
        <f>+C60*0.0032*(C64/5)^1.3/(C65/2)^1.4*E59/2000</f>
        <v>1.157314116835741</v>
      </c>
      <c r="E73" s="7">
        <f>+C60*0.0032*(C64/5)^1.3/(C65/2)^1.4*C59</f>
        <v>0.57865705841787052</v>
      </c>
      <c r="F73" s="10" t="s">
        <v>113</v>
      </c>
    </row>
    <row r="74" spans="1:8" x14ac:dyDescent="0.2">
      <c r="A74" t="s">
        <v>48</v>
      </c>
      <c r="C74" s="7">
        <f>+C61*0.0032*(C63/5)^1.3/(C65/2)^1.4*C59</f>
        <v>0.39469947635531449</v>
      </c>
      <c r="D74" s="7">
        <f>+C61*0.0032*(C64/5)^1.3/(C65/2)^1.4*E59/2000</f>
        <v>0.54737829850339093</v>
      </c>
      <c r="E74" s="7">
        <f>+C61*0.0032*(C64/5)^1.3/(C65/2)^1.4*C59</f>
        <v>0.27368914925169546</v>
      </c>
      <c r="F74" s="10" t="s">
        <v>113</v>
      </c>
    </row>
    <row r="75" spans="1:8" x14ac:dyDescent="0.2">
      <c r="A75" t="s">
        <v>69</v>
      </c>
      <c r="C75" s="7">
        <f>+C62*0.0032*(C63/5)^1.3/(C65/2)^1.4*C59</f>
        <v>5.9768777848090489E-2</v>
      </c>
      <c r="D75" s="7">
        <f>+C62*0.0032*(C64/5)^1.3/(C65/2)^1.4*E59/2000</f>
        <v>8.2888713773370634E-2</v>
      </c>
      <c r="E75" s="7">
        <f>+C62*0.0032*(C64/5)^1.3/(C65/2)^1.4*C59</f>
        <v>4.1444356886685317E-2</v>
      </c>
      <c r="F75" s="10" t="s">
        <v>113</v>
      </c>
    </row>
    <row r="76" spans="1:8" x14ac:dyDescent="0.2">
      <c r="C76" s="1"/>
      <c r="D76" s="1"/>
    </row>
    <row r="77" spans="1:8" x14ac:dyDescent="0.2">
      <c r="A77" s="6" t="s">
        <v>85</v>
      </c>
      <c r="C77" s="8" t="s">
        <v>230</v>
      </c>
    </row>
    <row r="78" spans="1:8" x14ac:dyDescent="0.2">
      <c r="A78" s="10" t="s">
        <v>70</v>
      </c>
    </row>
    <row r="79" spans="1:8" x14ac:dyDescent="0.2">
      <c r="A79" t="s">
        <v>0</v>
      </c>
      <c r="C79">
        <f>+(agg+sand)/2000*cuydhr</f>
        <v>187.5</v>
      </c>
      <c r="D79" t="s">
        <v>44</v>
      </c>
      <c r="E79">
        <f>+(agg+sand)/2000*cuydday</f>
        <v>2812.5</v>
      </c>
      <c r="F79" t="s">
        <v>45</v>
      </c>
      <c r="G79">
        <f>+(agg+sand)/2000*cuydyr</f>
        <v>750000</v>
      </c>
      <c r="H79" t="s">
        <v>56</v>
      </c>
    </row>
    <row r="80" spans="1:8" x14ac:dyDescent="0.2">
      <c r="A80" t="s">
        <v>117</v>
      </c>
      <c r="C80">
        <v>3.0000000000000001E-3</v>
      </c>
      <c r="D80" t="s">
        <v>46</v>
      </c>
    </row>
    <row r="81" spans="1:7" x14ac:dyDescent="0.2">
      <c r="A81" t="s">
        <v>48</v>
      </c>
      <c r="C81">
        <v>1.1000000000000001E-3</v>
      </c>
      <c r="D81" t="s">
        <v>46</v>
      </c>
    </row>
    <row r="82" spans="1:7" x14ac:dyDescent="0.2">
      <c r="A82" t="s">
        <v>69</v>
      </c>
      <c r="C82" s="20">
        <f>+C81*0.053/0.35</f>
        <v>1.6657142857142858E-4</v>
      </c>
      <c r="D82" t="s">
        <v>46</v>
      </c>
    </row>
    <row r="83" spans="1:7" x14ac:dyDescent="0.2">
      <c r="F83" s="103"/>
      <c r="G83" s="103"/>
    </row>
    <row r="84" spans="1:7" x14ac:dyDescent="0.2">
      <c r="C84" s="3" t="s">
        <v>10</v>
      </c>
      <c r="D84" s="3" t="s">
        <v>57</v>
      </c>
    </row>
    <row r="85" spans="1:7" x14ac:dyDescent="0.2">
      <c r="A85" t="s">
        <v>117</v>
      </c>
      <c r="C85" s="7">
        <f>+C80*C79</f>
        <v>0.5625</v>
      </c>
      <c r="D85" s="7">
        <f>+C85*unhrsyr/2000</f>
        <v>2.4637500000000001</v>
      </c>
    </row>
    <row r="86" spans="1:7" x14ac:dyDescent="0.2">
      <c r="A86" t="s">
        <v>48</v>
      </c>
      <c r="C86" s="7">
        <f>+C81*C79</f>
        <v>0.20625000000000002</v>
      </c>
      <c r="D86" s="7">
        <f>+C86*unhrsyr/2000</f>
        <v>0.90337500000000015</v>
      </c>
    </row>
    <row r="87" spans="1:7" x14ac:dyDescent="0.2">
      <c r="A87" t="s">
        <v>48</v>
      </c>
      <c r="C87" s="7">
        <f>+C82*C79</f>
        <v>3.1232142857142858E-2</v>
      </c>
      <c r="D87" s="7">
        <f>+C87*unhrsyr/2000</f>
        <v>0.13679678571428572</v>
      </c>
    </row>
    <row r="88" spans="1:7" x14ac:dyDescent="0.2">
      <c r="C88" s="7"/>
      <c r="D88" s="7"/>
    </row>
    <row r="89" spans="1:7" x14ac:dyDescent="0.2">
      <c r="A89" t="s">
        <v>118</v>
      </c>
      <c r="C89">
        <v>1.3999999999999999E-4</v>
      </c>
      <c r="D89" t="s">
        <v>46</v>
      </c>
    </row>
    <row r="90" spans="1:7" x14ac:dyDescent="0.2">
      <c r="A90" t="s">
        <v>35</v>
      </c>
      <c r="C90">
        <v>4.6E-5</v>
      </c>
      <c r="D90" t="s">
        <v>46</v>
      </c>
      <c r="F90" s="98">
        <f>+(1-C90/C81)</f>
        <v>0.95818181818181813</v>
      </c>
      <c r="G90" s="10" t="s">
        <v>105</v>
      </c>
    </row>
    <row r="91" spans="1:7" x14ac:dyDescent="0.2">
      <c r="A91" t="s">
        <v>67</v>
      </c>
      <c r="C91" s="20">
        <v>1.2999999999999999E-5</v>
      </c>
      <c r="D91" t="s">
        <v>46</v>
      </c>
    </row>
    <row r="92" spans="1:7" x14ac:dyDescent="0.2">
      <c r="C92" s="7"/>
      <c r="D92" s="7"/>
    </row>
    <row r="93" spans="1:7" x14ac:dyDescent="0.2">
      <c r="C93" s="3" t="s">
        <v>10</v>
      </c>
      <c r="D93" s="3" t="s">
        <v>57</v>
      </c>
    </row>
    <row r="94" spans="1:7" x14ac:dyDescent="0.2">
      <c r="A94" t="s">
        <v>118</v>
      </c>
      <c r="C94" s="7">
        <f>+C89*C79</f>
        <v>2.6249999999999999E-2</v>
      </c>
      <c r="D94" s="7">
        <f>+C89*G$79/2000</f>
        <v>5.2499999999999991E-2</v>
      </c>
      <c r="E94" s="10" t="s">
        <v>113</v>
      </c>
    </row>
    <row r="95" spans="1:7" x14ac:dyDescent="0.2">
      <c r="A95" t="s">
        <v>35</v>
      </c>
      <c r="C95" s="7">
        <f>+C90*C79</f>
        <v>8.6250000000000007E-3</v>
      </c>
      <c r="D95" s="7">
        <f>+C90*G$79/2000</f>
        <v>1.7250000000000001E-2</v>
      </c>
      <c r="E95" s="10" t="s">
        <v>113</v>
      </c>
    </row>
    <row r="96" spans="1:7" x14ac:dyDescent="0.2">
      <c r="A96" t="s">
        <v>35</v>
      </c>
      <c r="C96" s="7">
        <f>+C91*C79</f>
        <v>2.4375E-3</v>
      </c>
      <c r="D96" s="7">
        <f>+C91*G$79/2000</f>
        <v>4.875E-3</v>
      </c>
      <c r="E96" s="10" t="s">
        <v>113</v>
      </c>
    </row>
    <row r="97" spans="1:7" x14ac:dyDescent="0.2">
      <c r="C97" s="7"/>
      <c r="D97" s="7"/>
      <c r="F97" s="7"/>
      <c r="G97" s="7"/>
    </row>
    <row r="98" spans="1:7" x14ac:dyDescent="0.2">
      <c r="A98" s="6" t="s">
        <v>38</v>
      </c>
      <c r="C98" s="8" t="s">
        <v>230</v>
      </c>
    </row>
    <row r="99" spans="1:7" x14ac:dyDescent="0.2">
      <c r="A99" s="10" t="s">
        <v>70</v>
      </c>
    </row>
    <row r="100" spans="1:7" x14ac:dyDescent="0.2">
      <c r="A100" t="s">
        <v>0</v>
      </c>
      <c r="C100">
        <f>+(agg+sand)/2000*cuydhr</f>
        <v>187.5</v>
      </c>
      <c r="D100" t="s">
        <v>44</v>
      </c>
      <c r="E100">
        <f>+(agg+sand)/2000*cuydyr</f>
        <v>750000</v>
      </c>
      <c r="F100" t="s">
        <v>56</v>
      </c>
    </row>
    <row r="101" spans="1:7" x14ac:dyDescent="0.2">
      <c r="A101" t="s">
        <v>117</v>
      </c>
      <c r="C101">
        <v>3.0000000000000001E-3</v>
      </c>
      <c r="D101" t="s">
        <v>46</v>
      </c>
    </row>
    <row r="102" spans="1:7" x14ac:dyDescent="0.2">
      <c r="A102" t="s">
        <v>48</v>
      </c>
      <c r="C102">
        <v>1.1000000000000001E-3</v>
      </c>
      <c r="D102" t="s">
        <v>46</v>
      </c>
    </row>
    <row r="103" spans="1:7" x14ac:dyDescent="0.2">
      <c r="A103" t="s">
        <v>69</v>
      </c>
      <c r="C103" s="20">
        <f>+C102*0.053/0.35</f>
        <v>1.6657142857142858E-4</v>
      </c>
      <c r="D103" t="s">
        <v>46</v>
      </c>
    </row>
    <row r="104" spans="1:7" x14ac:dyDescent="0.2">
      <c r="F104" s="3"/>
      <c r="G104" s="3"/>
    </row>
    <row r="105" spans="1:7" x14ac:dyDescent="0.2">
      <c r="C105" s="3" t="s">
        <v>10</v>
      </c>
      <c r="D105" s="3" t="s">
        <v>57</v>
      </c>
    </row>
    <row r="106" spans="1:7" x14ac:dyDescent="0.2">
      <c r="A106" t="s">
        <v>117</v>
      </c>
      <c r="C106" s="7">
        <f>+C101*C100</f>
        <v>0.5625</v>
      </c>
      <c r="D106" s="7">
        <f>+C106*unhrsyr/2000</f>
        <v>2.4637500000000001</v>
      </c>
    </row>
    <row r="107" spans="1:7" x14ac:dyDescent="0.2">
      <c r="A107" t="s">
        <v>48</v>
      </c>
      <c r="C107" s="7">
        <f>+C102*C100</f>
        <v>0.20625000000000002</v>
      </c>
      <c r="D107" s="7">
        <f>+C107*unhrsyr/2000</f>
        <v>0.90337500000000015</v>
      </c>
    </row>
    <row r="108" spans="1:7" x14ac:dyDescent="0.2">
      <c r="A108" t="s">
        <v>69</v>
      </c>
      <c r="C108" s="7">
        <f>+C103*C100</f>
        <v>3.1232142857142858E-2</v>
      </c>
      <c r="D108" s="7">
        <f>+C108*unhrsyr/2000</f>
        <v>0.13679678571428572</v>
      </c>
    </row>
    <row r="109" spans="1:7" x14ac:dyDescent="0.2">
      <c r="C109" s="7"/>
      <c r="D109" s="7"/>
    </row>
    <row r="110" spans="1:7" x14ac:dyDescent="0.2">
      <c r="A110" t="s">
        <v>118</v>
      </c>
      <c r="C110">
        <v>1.3999999999999999E-4</v>
      </c>
      <c r="D110" t="s">
        <v>46</v>
      </c>
    </row>
    <row r="111" spans="1:7" x14ac:dyDescent="0.2">
      <c r="A111" t="s">
        <v>35</v>
      </c>
      <c r="C111">
        <v>4.6E-5</v>
      </c>
      <c r="D111" t="s">
        <v>46</v>
      </c>
      <c r="F111" s="98">
        <f>+(1-C111/C102)</f>
        <v>0.95818181818181813</v>
      </c>
      <c r="G111" s="10" t="s">
        <v>105</v>
      </c>
    </row>
    <row r="112" spans="1:7" x14ac:dyDescent="0.2">
      <c r="A112" t="s">
        <v>67</v>
      </c>
      <c r="C112" s="20">
        <v>1.2999999999999999E-5</v>
      </c>
      <c r="D112" t="s">
        <v>46</v>
      </c>
    </row>
    <row r="113" spans="1:7" x14ac:dyDescent="0.2">
      <c r="C113" s="7"/>
      <c r="D113" s="7"/>
    </row>
    <row r="114" spans="1:7" x14ac:dyDescent="0.2">
      <c r="C114" s="3" t="s">
        <v>10</v>
      </c>
      <c r="D114" s="3" t="s">
        <v>57</v>
      </c>
    </row>
    <row r="115" spans="1:7" x14ac:dyDescent="0.2">
      <c r="A115" s="10" t="s">
        <v>118</v>
      </c>
      <c r="C115" s="7">
        <f>+C110*C$100</f>
        <v>2.6249999999999999E-2</v>
      </c>
      <c r="D115" s="7">
        <f>+C110*E$100/2000</f>
        <v>5.2499999999999991E-2</v>
      </c>
      <c r="E115" s="10" t="s">
        <v>113</v>
      </c>
    </row>
    <row r="116" spans="1:7" x14ac:dyDescent="0.2">
      <c r="A116" s="10" t="s">
        <v>35</v>
      </c>
      <c r="C116" s="7">
        <f t="shared" ref="C116:C117" si="2">+C111*C$100</f>
        <v>8.6250000000000007E-3</v>
      </c>
      <c r="D116" s="7">
        <f t="shared" ref="D116:D117" si="3">+C111*E$100/2000</f>
        <v>1.7250000000000001E-2</v>
      </c>
      <c r="E116" s="10" t="s">
        <v>113</v>
      </c>
    </row>
    <row r="117" spans="1:7" x14ac:dyDescent="0.2">
      <c r="A117" s="10" t="s">
        <v>67</v>
      </c>
      <c r="C117" s="7">
        <f t="shared" si="2"/>
        <v>2.4375E-3</v>
      </c>
      <c r="D117" s="7">
        <f t="shared" si="3"/>
        <v>4.875E-3</v>
      </c>
      <c r="E117" s="10" t="s">
        <v>113</v>
      </c>
    </row>
    <row r="118" spans="1:7" x14ac:dyDescent="0.2">
      <c r="C118" s="1"/>
      <c r="D118" s="1"/>
    </row>
    <row r="119" spans="1:7" x14ac:dyDescent="0.2">
      <c r="A119" s="6" t="s">
        <v>221</v>
      </c>
      <c r="D119" s="8" t="s">
        <v>230</v>
      </c>
    </row>
    <row r="120" spans="1:7" x14ac:dyDescent="0.2">
      <c r="A120" t="s">
        <v>70</v>
      </c>
    </row>
    <row r="121" spans="1:7" x14ac:dyDescent="0.2">
      <c r="A121" t="s">
        <v>0</v>
      </c>
      <c r="C121">
        <f>+(agg+sand)/2000*cuydhr</f>
        <v>187.5</v>
      </c>
      <c r="D121" t="s">
        <v>44</v>
      </c>
      <c r="E121">
        <f>+(agg+sand)/2000*cuydyr</f>
        <v>750000</v>
      </c>
      <c r="F121" t="s">
        <v>56</v>
      </c>
    </row>
    <row r="122" spans="1:7" x14ac:dyDescent="0.2">
      <c r="A122" t="s">
        <v>117</v>
      </c>
      <c r="C122">
        <v>3.0000000000000001E-3</v>
      </c>
      <c r="D122" t="s">
        <v>46</v>
      </c>
    </row>
    <row r="123" spans="1:7" x14ac:dyDescent="0.2">
      <c r="A123" t="s">
        <v>48</v>
      </c>
      <c r="C123">
        <v>1.1000000000000001E-3</v>
      </c>
      <c r="D123" t="s">
        <v>46</v>
      </c>
    </row>
    <row r="124" spans="1:7" x14ac:dyDescent="0.2">
      <c r="A124" t="s">
        <v>69</v>
      </c>
      <c r="C124" s="20">
        <f>+C123*0.053/0.35</f>
        <v>1.6657142857142858E-4</v>
      </c>
      <c r="D124" t="s">
        <v>46</v>
      </c>
    </row>
    <row r="125" spans="1:7" x14ac:dyDescent="0.2">
      <c r="F125" s="103"/>
      <c r="G125" s="103"/>
    </row>
    <row r="126" spans="1:7" x14ac:dyDescent="0.2">
      <c r="C126" s="3" t="s">
        <v>10</v>
      </c>
      <c r="D126" s="3" t="s">
        <v>57</v>
      </c>
    </row>
    <row r="127" spans="1:7" x14ac:dyDescent="0.2">
      <c r="A127" t="s">
        <v>117</v>
      </c>
      <c r="C127" s="7">
        <f>+C122*C121</f>
        <v>0.5625</v>
      </c>
      <c r="D127" s="7">
        <f>+C127*unhrsyr/2000</f>
        <v>2.4637500000000001</v>
      </c>
    </row>
    <row r="128" spans="1:7" x14ac:dyDescent="0.2">
      <c r="A128" t="s">
        <v>48</v>
      </c>
      <c r="C128" s="7">
        <f>+C123*C121</f>
        <v>0.20625000000000002</v>
      </c>
      <c r="D128" s="7">
        <f>+C128*unhrsyr/2000</f>
        <v>0.90337500000000015</v>
      </c>
    </row>
    <row r="129" spans="1:7" x14ac:dyDescent="0.2">
      <c r="A129" t="s">
        <v>48</v>
      </c>
      <c r="C129" s="7">
        <f>+C124*C121</f>
        <v>3.1232142857142858E-2</v>
      </c>
      <c r="D129" s="7">
        <f>+C129*unhrsyr/2000</f>
        <v>0.13679678571428572</v>
      </c>
    </row>
    <row r="130" spans="1:7" x14ac:dyDescent="0.2">
      <c r="C130" s="7"/>
      <c r="D130" s="7"/>
    </row>
    <row r="131" spans="1:7" x14ac:dyDescent="0.2">
      <c r="A131" t="s">
        <v>118</v>
      </c>
      <c r="C131">
        <v>1.3999999999999999E-4</v>
      </c>
      <c r="D131" t="s">
        <v>46</v>
      </c>
    </row>
    <row r="132" spans="1:7" x14ac:dyDescent="0.2">
      <c r="A132" t="s">
        <v>35</v>
      </c>
      <c r="C132">
        <v>4.6E-5</v>
      </c>
      <c r="D132" t="s">
        <v>46</v>
      </c>
      <c r="F132" s="98">
        <f>+(1-C132/C123)</f>
        <v>0.95818181818181813</v>
      </c>
      <c r="G132" s="10" t="s">
        <v>105</v>
      </c>
    </row>
    <row r="133" spans="1:7" x14ac:dyDescent="0.2">
      <c r="A133" t="s">
        <v>67</v>
      </c>
      <c r="C133" s="20">
        <v>1.2999999999999999E-5</v>
      </c>
      <c r="D133" t="s">
        <v>46</v>
      </c>
    </row>
    <row r="134" spans="1:7" x14ac:dyDescent="0.2">
      <c r="C134" s="7"/>
      <c r="D134" s="7"/>
    </row>
    <row r="135" spans="1:7" x14ac:dyDescent="0.2">
      <c r="C135" s="3" t="s">
        <v>10</v>
      </c>
      <c r="D135" s="3" t="s">
        <v>57</v>
      </c>
    </row>
    <row r="136" spans="1:7" x14ac:dyDescent="0.2">
      <c r="A136" s="10" t="s">
        <v>118</v>
      </c>
      <c r="C136" s="7">
        <f>+C131*C$121</f>
        <v>2.6249999999999999E-2</v>
      </c>
      <c r="D136" s="7">
        <f>+C131*E$121/2000</f>
        <v>5.2499999999999991E-2</v>
      </c>
      <c r="E136" s="10" t="s">
        <v>113</v>
      </c>
    </row>
    <row r="137" spans="1:7" x14ac:dyDescent="0.2">
      <c r="A137" s="10" t="s">
        <v>35</v>
      </c>
      <c r="C137" s="7">
        <f t="shared" ref="C137:C138" si="4">+C132*C$121</f>
        <v>8.6250000000000007E-3</v>
      </c>
      <c r="D137" s="7">
        <f t="shared" ref="D137:D138" si="5">+C132*E$121/2000</f>
        <v>1.7250000000000001E-2</v>
      </c>
      <c r="E137" s="10" t="s">
        <v>113</v>
      </c>
    </row>
    <row r="138" spans="1:7" x14ac:dyDescent="0.2">
      <c r="A138" s="10" t="s">
        <v>67</v>
      </c>
      <c r="C138" s="7">
        <f t="shared" si="4"/>
        <v>2.4375E-3</v>
      </c>
      <c r="D138" s="7">
        <f t="shared" si="5"/>
        <v>4.875E-3</v>
      </c>
      <c r="E138" s="10" t="s">
        <v>113</v>
      </c>
    </row>
    <row r="139" spans="1:7" x14ac:dyDescent="0.2">
      <c r="C139" s="7"/>
      <c r="D139" s="7"/>
      <c r="F139" s="7"/>
      <c r="G139" s="7"/>
    </row>
    <row r="140" spans="1:7" x14ac:dyDescent="0.2">
      <c r="A140" s="6" t="s">
        <v>103</v>
      </c>
      <c r="C140" s="8" t="s">
        <v>229</v>
      </c>
      <c r="F140" s="9"/>
    </row>
    <row r="141" spans="1:7" x14ac:dyDescent="0.2">
      <c r="F141" s="9"/>
    </row>
    <row r="142" spans="1:7" x14ac:dyDescent="0.2">
      <c r="A142" s="8" t="s">
        <v>151</v>
      </c>
      <c r="F142" s="9"/>
    </row>
    <row r="143" spans="1:7" x14ac:dyDescent="0.2">
      <c r="A143" s="9" t="s">
        <v>119</v>
      </c>
      <c r="B143">
        <v>1.1180000000000001</v>
      </c>
      <c r="C143" t="s">
        <v>46</v>
      </c>
      <c r="D143" t="s">
        <v>183</v>
      </c>
      <c r="F143" s="9"/>
    </row>
    <row r="144" spans="1:7" x14ac:dyDescent="0.2">
      <c r="A144" s="9" t="s">
        <v>34</v>
      </c>
      <c r="B144">
        <v>0.31</v>
      </c>
      <c r="C144" t="s">
        <v>46</v>
      </c>
      <c r="D144" t="s">
        <v>184</v>
      </c>
      <c r="F144" s="9"/>
    </row>
    <row r="145" spans="1:9" x14ac:dyDescent="0.2">
      <c r="A145" s="21" t="s">
        <v>71</v>
      </c>
      <c r="B145" s="57">
        <f>+B144*0.05/0.278</f>
        <v>5.5755395683453231E-2</v>
      </c>
      <c r="C145" t="s">
        <v>46</v>
      </c>
      <c r="D145" s="10" t="s">
        <v>185</v>
      </c>
      <c r="F145" s="9"/>
    </row>
    <row r="146" spans="1:9" x14ac:dyDescent="0.2">
      <c r="A146" s="9"/>
      <c r="F146" s="9"/>
    </row>
    <row r="147" spans="1:9" x14ac:dyDescent="0.2">
      <c r="A147" t="s">
        <v>154</v>
      </c>
      <c r="C147">
        <f>+(C6+C7)/2000*cuydhr</f>
        <v>38.8125</v>
      </c>
      <c r="D147" t="s">
        <v>44</v>
      </c>
      <c r="E147">
        <f>+(C6+C7)/2000*cuydyr</f>
        <v>155250</v>
      </c>
      <c r="F147" s="16" t="s">
        <v>56</v>
      </c>
    </row>
    <row r="148" spans="1:9" x14ac:dyDescent="0.2">
      <c r="F148" s="9"/>
    </row>
    <row r="149" spans="1:9" x14ac:dyDescent="0.2">
      <c r="C149" s="72" t="s">
        <v>10</v>
      </c>
      <c r="D149" s="72" t="s">
        <v>57</v>
      </c>
    </row>
    <row r="150" spans="1:9" x14ac:dyDescent="0.2">
      <c r="A150" t="s">
        <v>170</v>
      </c>
      <c r="C150" s="19">
        <f>+B143*C$147</f>
        <v>43.392375000000001</v>
      </c>
      <c r="D150" s="34">
        <f>+C150*unhrsyr/2000</f>
        <v>190.05860250000001</v>
      </c>
    </row>
    <row r="151" spans="1:9" x14ac:dyDescent="0.2">
      <c r="A151" t="s">
        <v>169</v>
      </c>
      <c r="C151" s="19">
        <f t="shared" ref="C151:C152" si="6">+B144*C$147</f>
        <v>12.031874999999999</v>
      </c>
      <c r="D151" s="34">
        <f>+C151*unhrsyr/2000</f>
        <v>52.699612499999994</v>
      </c>
    </row>
    <row r="152" spans="1:9" x14ac:dyDescent="0.2">
      <c r="A152" t="s">
        <v>171</v>
      </c>
      <c r="C152" s="19">
        <f t="shared" si="6"/>
        <v>2.1640062949640284</v>
      </c>
      <c r="D152" s="19">
        <f>+C152*unhrsyr/2000</f>
        <v>9.4783475719424448</v>
      </c>
    </row>
    <row r="153" spans="1:9" x14ac:dyDescent="0.2">
      <c r="F153" s="9"/>
    </row>
    <row r="154" spans="1:9" x14ac:dyDescent="0.2">
      <c r="A154" s="8" t="s">
        <v>104</v>
      </c>
      <c r="F154" s="9"/>
    </row>
    <row r="155" spans="1:9" x14ac:dyDescent="0.2">
      <c r="A155" s="10" t="s">
        <v>105</v>
      </c>
      <c r="D155" s="51">
        <v>0.999</v>
      </c>
      <c r="F155" s="9"/>
    </row>
    <row r="156" spans="1:9" x14ac:dyDescent="0.2">
      <c r="A156" s="10"/>
      <c r="D156" s="51"/>
      <c r="F156" s="9"/>
    </row>
    <row r="157" spans="1:9" x14ac:dyDescent="0.2">
      <c r="C157" s="72" t="s">
        <v>10</v>
      </c>
      <c r="D157" s="72" t="s">
        <v>57</v>
      </c>
    </row>
    <row r="158" spans="1:9" x14ac:dyDescent="0.2">
      <c r="A158" s="10" t="s">
        <v>186</v>
      </c>
      <c r="C158" s="42">
        <f>+B143*(1-D$155)*C147</f>
        <v>4.3392375000000045E-2</v>
      </c>
      <c r="D158" s="11">
        <f>+B143*E147*(1-D$155)/2000</f>
        <v>8.6784750000000091E-2</v>
      </c>
      <c r="H158" s="22"/>
      <c r="I158" s="30"/>
    </row>
    <row r="159" spans="1:9" x14ac:dyDescent="0.2">
      <c r="A159" s="10" t="s">
        <v>187</v>
      </c>
      <c r="C159" s="42">
        <f>+B144*(1-D$155)*C147</f>
        <v>1.2031875000000011E-2</v>
      </c>
      <c r="D159" s="42">
        <f>+B144*E147*(1-D$155)/2000</f>
        <v>2.4063750000000019E-2</v>
      </c>
      <c r="H159" s="22"/>
      <c r="I159" s="30"/>
    </row>
    <row r="160" spans="1:9" x14ac:dyDescent="0.2">
      <c r="A160" s="10" t="s">
        <v>188</v>
      </c>
      <c r="C160" s="71">
        <f>+C159*0.048/0.32</f>
        <v>1.8047812500000017E-3</v>
      </c>
      <c r="D160" s="75">
        <f>+D159*0.048/0.32</f>
        <v>3.609562500000003E-3</v>
      </c>
      <c r="E160" s="10" t="s">
        <v>189</v>
      </c>
      <c r="H160" s="22"/>
      <c r="I160" s="22"/>
    </row>
    <row r="161" spans="1:7" x14ac:dyDescent="0.2">
      <c r="C161" s="7"/>
      <c r="D161" s="7"/>
      <c r="F161" s="7"/>
      <c r="G161" s="7"/>
    </row>
    <row r="162" spans="1:7" x14ac:dyDescent="0.2">
      <c r="A162" s="6" t="s">
        <v>100</v>
      </c>
      <c r="C162" s="8" t="s">
        <v>229</v>
      </c>
      <c r="F162" s="9"/>
    </row>
    <row r="163" spans="1:7" x14ac:dyDescent="0.2">
      <c r="F163" s="9"/>
    </row>
    <row r="164" spans="1:7" x14ac:dyDescent="0.2">
      <c r="A164" s="8" t="s">
        <v>155</v>
      </c>
      <c r="F164" s="9"/>
    </row>
    <row r="165" spans="1:7" x14ac:dyDescent="0.2">
      <c r="A165" s="9" t="s">
        <v>119</v>
      </c>
      <c r="B165">
        <v>0.57199999999999995</v>
      </c>
      <c r="C165" t="s">
        <v>46</v>
      </c>
      <c r="D165" s="10" t="s">
        <v>152</v>
      </c>
      <c r="F165" s="9"/>
    </row>
    <row r="166" spans="1:7" x14ac:dyDescent="0.2">
      <c r="A166" s="9" t="s">
        <v>34</v>
      </c>
      <c r="B166">
        <v>0.156</v>
      </c>
      <c r="C166" t="s">
        <v>46</v>
      </c>
      <c r="D166" t="s">
        <v>153</v>
      </c>
      <c r="F166" s="9"/>
    </row>
    <row r="167" spans="1:7" x14ac:dyDescent="0.2">
      <c r="A167" s="21" t="s">
        <v>71</v>
      </c>
      <c r="B167" s="57">
        <f>+B166*0.38/1.92</f>
        <v>3.0875E-2</v>
      </c>
      <c r="C167" t="s">
        <v>46</v>
      </c>
      <c r="D167" s="10" t="s">
        <v>190</v>
      </c>
      <c r="F167" s="9"/>
    </row>
    <row r="168" spans="1:7" x14ac:dyDescent="0.2">
      <c r="A168" s="9"/>
      <c r="F168" s="9"/>
    </row>
    <row r="169" spans="1:7" x14ac:dyDescent="0.2">
      <c r="A169" t="s">
        <v>154</v>
      </c>
      <c r="C169">
        <f>+(C6+C7)/2000*cuydhr</f>
        <v>38.8125</v>
      </c>
      <c r="D169" t="s">
        <v>44</v>
      </c>
      <c r="E169">
        <f>+(C6+C7)/2000*cuydyr</f>
        <v>155250</v>
      </c>
      <c r="F169" s="16" t="s">
        <v>56</v>
      </c>
    </row>
    <row r="170" spans="1:7" x14ac:dyDescent="0.2">
      <c r="F170" s="9"/>
    </row>
    <row r="171" spans="1:7" x14ac:dyDescent="0.2">
      <c r="C171" s="72" t="s">
        <v>10</v>
      </c>
      <c r="D171" s="72" t="s">
        <v>57</v>
      </c>
    </row>
    <row r="172" spans="1:7" x14ac:dyDescent="0.2">
      <c r="A172" s="10" t="s">
        <v>156</v>
      </c>
      <c r="C172" s="11">
        <f>+B165*C$169</f>
        <v>22.200749999999999</v>
      </c>
      <c r="D172" s="19">
        <f>+C172*unhrsyr/2000</f>
        <v>97.23928500000001</v>
      </c>
    </row>
    <row r="173" spans="1:7" x14ac:dyDescent="0.2">
      <c r="A173" t="s">
        <v>157</v>
      </c>
      <c r="C173" s="11">
        <f t="shared" ref="C173:C174" si="7">+B166*C$169</f>
        <v>6.0547500000000003</v>
      </c>
      <c r="D173" s="19">
        <f>+C173*unhrsyr/2000</f>
        <v>26.519805000000002</v>
      </c>
    </row>
    <row r="174" spans="1:7" x14ac:dyDescent="0.2">
      <c r="A174" t="s">
        <v>158</v>
      </c>
      <c r="C174" s="11">
        <f t="shared" si="7"/>
        <v>1.1983359375</v>
      </c>
      <c r="D174" s="19">
        <f>+C174*unhrsyr/2000</f>
        <v>5.2487114062500009</v>
      </c>
    </row>
    <row r="175" spans="1:7" x14ac:dyDescent="0.2">
      <c r="F175" s="9"/>
    </row>
    <row r="176" spans="1:7" x14ac:dyDescent="0.2">
      <c r="A176" s="8" t="s">
        <v>104</v>
      </c>
      <c r="F176" s="9"/>
    </row>
    <row r="177" spans="1:11" x14ac:dyDescent="0.2">
      <c r="A177" s="10" t="s">
        <v>105</v>
      </c>
      <c r="D177" s="51">
        <v>0.999</v>
      </c>
      <c r="F177" s="9"/>
    </row>
    <row r="178" spans="1:11" x14ac:dyDescent="0.2">
      <c r="A178" s="10"/>
      <c r="D178" s="51"/>
      <c r="F178" s="9"/>
    </row>
    <row r="179" spans="1:11" x14ac:dyDescent="0.2">
      <c r="C179" s="72" t="s">
        <v>10</v>
      </c>
      <c r="D179" s="72" t="s">
        <v>57</v>
      </c>
    </row>
    <row r="180" spans="1:11" x14ac:dyDescent="0.2">
      <c r="A180" s="10" t="s">
        <v>173</v>
      </c>
      <c r="C180" s="42">
        <f>+B165*(1-D$177)*C169</f>
        <v>2.2200750000000019E-2</v>
      </c>
      <c r="D180" s="42">
        <f>+B165*E169*(1-D$177)/2000</f>
        <v>4.4401500000000031E-2</v>
      </c>
      <c r="H180" s="22"/>
      <c r="I180" s="30"/>
    </row>
    <row r="181" spans="1:11" x14ac:dyDescent="0.2">
      <c r="A181" s="10" t="s">
        <v>174</v>
      </c>
      <c r="C181" s="75">
        <f>+B166*(1-D$177)*C169</f>
        <v>6.0547500000000054E-3</v>
      </c>
      <c r="D181" s="42">
        <f>+B166*E169*(1-D$177)/2000</f>
        <v>1.2109500000000011E-2</v>
      </c>
      <c r="H181" s="22"/>
      <c r="I181" s="30"/>
    </row>
    <row r="182" spans="1:11" x14ac:dyDescent="0.2">
      <c r="A182" s="10" t="s">
        <v>175</v>
      </c>
      <c r="C182" s="71">
        <f>+C181*0.03/0.13</f>
        <v>1.3972500000000011E-3</v>
      </c>
      <c r="D182" s="75">
        <f>+D181*0.38/1.92</f>
        <v>2.3966718750000021E-3</v>
      </c>
      <c r="E182" s="10" t="s">
        <v>222</v>
      </c>
      <c r="H182" s="22"/>
      <c r="I182" s="22"/>
    </row>
    <row r="183" spans="1:11" x14ac:dyDescent="0.2">
      <c r="F183" s="9"/>
    </row>
    <row r="184" spans="1:11" x14ac:dyDescent="0.2">
      <c r="A184" s="6" t="s">
        <v>112</v>
      </c>
      <c r="C184" s="8" t="s">
        <v>228</v>
      </c>
      <c r="F184" s="9"/>
    </row>
    <row r="185" spans="1:11" x14ac:dyDescent="0.2">
      <c r="F185" s="9"/>
    </row>
    <row r="186" spans="1:11" ht="13.5" customHeight="1" x14ac:dyDescent="0.2">
      <c r="A186" s="104" t="s">
        <v>159</v>
      </c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</row>
    <row r="187" spans="1:11" x14ac:dyDescent="0.2">
      <c r="A187" s="9" t="s">
        <v>119</v>
      </c>
      <c r="B187">
        <v>0.73</v>
      </c>
      <c r="C187" t="s">
        <v>46</v>
      </c>
      <c r="D187" t="s">
        <v>121</v>
      </c>
      <c r="F187" s="9"/>
    </row>
    <row r="188" spans="1:11" x14ac:dyDescent="0.2">
      <c r="A188" s="9" t="s">
        <v>34</v>
      </c>
      <c r="B188">
        <v>0.47</v>
      </c>
      <c r="C188" t="s">
        <v>46</v>
      </c>
      <c r="D188" t="s">
        <v>54</v>
      </c>
      <c r="F188" s="9"/>
    </row>
    <row r="189" spans="1:11" x14ac:dyDescent="0.2">
      <c r="A189" s="21" t="s">
        <v>71</v>
      </c>
      <c r="B189" s="57">
        <f>+B188*0.38/1.92</f>
        <v>9.302083333333333E-2</v>
      </c>
      <c r="C189" t="s">
        <v>46</v>
      </c>
      <c r="D189" s="10" t="s">
        <v>190</v>
      </c>
      <c r="F189" s="9"/>
    </row>
    <row r="190" spans="1:11" x14ac:dyDescent="0.2">
      <c r="A190" s="9"/>
      <c r="F190" s="9"/>
    </row>
    <row r="191" spans="1:11" x14ac:dyDescent="0.2">
      <c r="A191" t="s">
        <v>160</v>
      </c>
      <c r="C191" s="12">
        <f>+D6</f>
        <v>30.5625</v>
      </c>
      <c r="D191" t="s">
        <v>44</v>
      </c>
      <c r="E191">
        <f>+(C6)/2000*cuydyr</f>
        <v>122250</v>
      </c>
      <c r="F191" s="16" t="s">
        <v>56</v>
      </c>
    </row>
    <row r="192" spans="1:11" x14ac:dyDescent="0.2">
      <c r="F192" s="9"/>
    </row>
    <row r="193" spans="1:11" x14ac:dyDescent="0.2">
      <c r="C193" s="72" t="s">
        <v>10</v>
      </c>
      <c r="D193" s="72" t="s">
        <v>57</v>
      </c>
    </row>
    <row r="194" spans="1:11" x14ac:dyDescent="0.2">
      <c r="A194" s="10" t="s">
        <v>161</v>
      </c>
      <c r="C194" s="7">
        <f>+(B187*C191)</f>
        <v>22.310624999999998</v>
      </c>
      <c r="D194" s="7">
        <f>+C194*unhrsyr/2000</f>
        <v>97.720537499999992</v>
      </c>
    </row>
    <row r="195" spans="1:11" x14ac:dyDescent="0.2">
      <c r="A195" t="s">
        <v>162</v>
      </c>
      <c r="C195" s="7">
        <f>+(B188*C191)</f>
        <v>14.364374999999999</v>
      </c>
      <c r="D195" s="7">
        <f>+C195*unhrsyr/2000</f>
        <v>62.915962499999992</v>
      </c>
    </row>
    <row r="196" spans="1:11" x14ac:dyDescent="0.2">
      <c r="A196" s="10" t="s">
        <v>163</v>
      </c>
      <c r="C196" s="7">
        <f>+(B189*C191)</f>
        <v>2.8429492187499998</v>
      </c>
      <c r="D196" s="7">
        <f>+C196*unhrsyr/2000</f>
        <v>12.452117578124998</v>
      </c>
    </row>
    <row r="197" spans="1:11" x14ac:dyDescent="0.2">
      <c r="F197" s="9"/>
    </row>
    <row r="198" spans="1:11" x14ac:dyDescent="0.2">
      <c r="A198" s="8" t="s">
        <v>104</v>
      </c>
      <c r="F198" s="9"/>
    </row>
    <row r="199" spans="1:11" x14ac:dyDescent="0.2">
      <c r="A199" s="10" t="s">
        <v>105</v>
      </c>
      <c r="D199" s="51">
        <v>0.999</v>
      </c>
      <c r="F199" s="9"/>
    </row>
    <row r="200" spans="1:11" x14ac:dyDescent="0.2">
      <c r="A200" s="10"/>
      <c r="D200" s="51"/>
      <c r="F200" s="9"/>
    </row>
    <row r="201" spans="1:11" x14ac:dyDescent="0.2">
      <c r="C201" s="72" t="s">
        <v>10</v>
      </c>
      <c r="D201" s="72" t="s">
        <v>57</v>
      </c>
    </row>
    <row r="202" spans="1:11" x14ac:dyDescent="0.2">
      <c r="A202" s="10" t="s">
        <v>176</v>
      </c>
      <c r="C202" s="97">
        <f>+B187*(1-D$199)*C191</f>
        <v>2.2310625000000018E-2</v>
      </c>
      <c r="D202" s="42">
        <f>+B187*E191*(1-D$199)/2000</f>
        <v>4.4621250000000036E-2</v>
      </c>
      <c r="H202" s="22"/>
      <c r="I202" s="30"/>
    </row>
    <row r="203" spans="1:11" x14ac:dyDescent="0.2">
      <c r="A203" s="10" t="s">
        <v>177</v>
      </c>
      <c r="C203" s="97">
        <f>+B188*(1-D$199)*C191</f>
        <v>1.4364375000000011E-2</v>
      </c>
      <c r="D203" s="42">
        <f>+B188*E191*(1-D$199)/2000</f>
        <v>2.8728750000000025E-2</v>
      </c>
      <c r="H203" s="22"/>
      <c r="I203" s="30"/>
    </row>
    <row r="204" spans="1:11" x14ac:dyDescent="0.2">
      <c r="A204" s="10" t="s">
        <v>178</v>
      </c>
      <c r="C204" s="97">
        <f>+C203*0.03/0.13</f>
        <v>3.3148557692307713E-3</v>
      </c>
      <c r="D204" s="75">
        <f>+D203*0.38/1.92</f>
        <v>5.685898437500005E-3</v>
      </c>
      <c r="E204" s="10" t="s">
        <v>222</v>
      </c>
      <c r="H204" s="22"/>
      <c r="I204" s="22"/>
    </row>
    <row r="205" spans="1:11" x14ac:dyDescent="0.2">
      <c r="F205" s="9"/>
      <c r="G205" s="10"/>
    </row>
    <row r="206" spans="1:11" x14ac:dyDescent="0.2">
      <c r="A206" s="6" t="s">
        <v>172</v>
      </c>
      <c r="C206" s="8" t="s">
        <v>228</v>
      </c>
      <c r="F206" s="9"/>
    </row>
    <row r="207" spans="1:11" x14ac:dyDescent="0.2">
      <c r="F207" s="9"/>
    </row>
    <row r="208" spans="1:11" ht="13.5" customHeight="1" x14ac:dyDescent="0.2">
      <c r="A208" s="104" t="s">
        <v>164</v>
      </c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</row>
    <row r="209" spans="1:9" x14ac:dyDescent="0.2">
      <c r="A209" s="9" t="s">
        <v>119</v>
      </c>
      <c r="B209">
        <v>3.14</v>
      </c>
      <c r="C209" t="s">
        <v>46</v>
      </c>
      <c r="D209" t="s">
        <v>152</v>
      </c>
      <c r="F209" s="9"/>
    </row>
    <row r="210" spans="1:9" x14ac:dyDescent="0.2">
      <c r="A210" s="9" t="s">
        <v>34</v>
      </c>
      <c r="B210">
        <v>1.1000000000000001</v>
      </c>
      <c r="C210" t="s">
        <v>46</v>
      </c>
      <c r="D210" t="s">
        <v>153</v>
      </c>
      <c r="F210" s="9"/>
    </row>
    <row r="211" spans="1:9" x14ac:dyDescent="0.2">
      <c r="A211" s="9" t="s">
        <v>34</v>
      </c>
      <c r="B211" s="57">
        <f>+B210*0.38/1.92</f>
        <v>0.21770833333333336</v>
      </c>
      <c r="C211" t="s">
        <v>46</v>
      </c>
      <c r="D211" s="10" t="s">
        <v>190</v>
      </c>
      <c r="F211" s="9"/>
    </row>
    <row r="212" spans="1:9" x14ac:dyDescent="0.2">
      <c r="A212" s="9"/>
      <c r="F212" s="9"/>
    </row>
    <row r="213" spans="1:9" x14ac:dyDescent="0.2">
      <c r="A213" t="s">
        <v>165</v>
      </c>
      <c r="C213">
        <f>+(C7)/2000*cuydhr</f>
        <v>8.25</v>
      </c>
      <c r="D213" t="s">
        <v>44</v>
      </c>
      <c r="E213">
        <f>+(C7)/2000*cuydyr</f>
        <v>33000</v>
      </c>
      <c r="F213" s="16" t="s">
        <v>56</v>
      </c>
    </row>
    <row r="214" spans="1:9" x14ac:dyDescent="0.2">
      <c r="F214" s="9"/>
    </row>
    <row r="215" spans="1:9" x14ac:dyDescent="0.2">
      <c r="C215" s="72" t="s">
        <v>10</v>
      </c>
      <c r="D215" s="72" t="s">
        <v>57</v>
      </c>
    </row>
    <row r="216" spans="1:9" x14ac:dyDescent="0.2">
      <c r="A216" s="10" t="s">
        <v>166</v>
      </c>
      <c r="C216" s="7">
        <f>+(B209*C213)</f>
        <v>25.905000000000001</v>
      </c>
      <c r="D216" s="7">
        <f>+C216*unhrsyr/2000</f>
        <v>113.46390000000001</v>
      </c>
    </row>
    <row r="217" spans="1:9" x14ac:dyDescent="0.2">
      <c r="A217" s="10" t="s">
        <v>167</v>
      </c>
      <c r="C217" s="7">
        <f>+(B210*C213)</f>
        <v>9.0750000000000011</v>
      </c>
      <c r="D217" s="7">
        <f>+C217*unhrsyr/2000</f>
        <v>39.748500000000007</v>
      </c>
    </row>
    <row r="218" spans="1:9" x14ac:dyDescent="0.2">
      <c r="A218" s="10" t="s">
        <v>168</v>
      </c>
      <c r="C218" s="7">
        <f>+(B211*C213)</f>
        <v>1.7960937500000003</v>
      </c>
      <c r="D218" s="7">
        <f>+C218*unhrsyr/2000</f>
        <v>7.8668906250000008</v>
      </c>
    </row>
    <row r="219" spans="1:9" x14ac:dyDescent="0.2">
      <c r="F219" s="9"/>
    </row>
    <row r="220" spans="1:9" x14ac:dyDescent="0.2">
      <c r="A220" s="8" t="s">
        <v>104</v>
      </c>
      <c r="F220" s="9"/>
    </row>
    <row r="221" spans="1:9" x14ac:dyDescent="0.2">
      <c r="A221" s="10" t="s">
        <v>105</v>
      </c>
      <c r="D221" s="51">
        <v>0.999</v>
      </c>
      <c r="F221" s="9"/>
    </row>
    <row r="222" spans="1:9" x14ac:dyDescent="0.2">
      <c r="A222" s="10"/>
      <c r="D222" s="51"/>
      <c r="F222" s="9"/>
    </row>
    <row r="223" spans="1:9" x14ac:dyDescent="0.2">
      <c r="C223" s="50" t="s">
        <v>10</v>
      </c>
      <c r="D223" s="50" t="s">
        <v>57</v>
      </c>
    </row>
    <row r="224" spans="1:9" x14ac:dyDescent="0.2">
      <c r="A224" s="10" t="s">
        <v>120</v>
      </c>
      <c r="C224" s="42">
        <f>+B209*(1-D$221)*C213</f>
        <v>2.5905000000000025E-2</v>
      </c>
      <c r="D224" s="42">
        <f>+B209*E213*(1-D$221)/2000</f>
        <v>5.1810000000000044E-2</v>
      </c>
      <c r="H224" s="22"/>
      <c r="I224" s="30"/>
    </row>
    <row r="225" spans="1:10" x14ac:dyDescent="0.2">
      <c r="A225" s="10" t="s">
        <v>106</v>
      </c>
      <c r="C225" s="42">
        <f>+B210*(1-D$221)*C213</f>
        <v>9.0750000000000101E-3</v>
      </c>
      <c r="D225" s="42">
        <f>+B210*E213*(1-D$221)/2000</f>
        <v>1.8150000000000017E-2</v>
      </c>
      <c r="H225" s="22"/>
      <c r="I225" s="30"/>
    </row>
    <row r="226" spans="1:10" x14ac:dyDescent="0.2">
      <c r="A226" s="10" t="s">
        <v>107</v>
      </c>
      <c r="C226" s="75">
        <f>+C225*0.03/0.13</f>
        <v>2.0942307692307714E-3</v>
      </c>
      <c r="D226" s="75">
        <f>+D225*0.38/1.92</f>
        <v>3.5921875000000034E-3</v>
      </c>
      <c r="E226" s="10" t="s">
        <v>222</v>
      </c>
      <c r="H226" s="22"/>
      <c r="I226" s="22"/>
    </row>
    <row r="227" spans="1:10" x14ac:dyDescent="0.2">
      <c r="H227" s="22"/>
      <c r="I227" s="22"/>
    </row>
    <row r="228" spans="1:10" x14ac:dyDescent="0.2">
      <c r="A228" s="6" t="s">
        <v>198</v>
      </c>
      <c r="B228" s="10" t="s">
        <v>225</v>
      </c>
      <c r="C228" s="8" t="s">
        <v>229</v>
      </c>
    </row>
    <row r="229" spans="1:10" x14ac:dyDescent="0.2">
      <c r="A229" t="s">
        <v>32</v>
      </c>
      <c r="D229" s="12"/>
      <c r="H229" s="78"/>
      <c r="I229" s="78"/>
      <c r="J229" s="12"/>
    </row>
    <row r="230" spans="1:10" x14ac:dyDescent="0.2">
      <c r="A230" s="10" t="s">
        <v>191</v>
      </c>
      <c r="D230" s="79" t="s">
        <v>59</v>
      </c>
      <c r="H230" s="78"/>
      <c r="I230" s="78"/>
      <c r="J230" s="12"/>
    </row>
    <row r="231" spans="1:10" x14ac:dyDescent="0.2">
      <c r="D231" s="12"/>
      <c r="H231" s="78"/>
      <c r="I231" s="78"/>
      <c r="J231" s="12"/>
    </row>
    <row r="232" spans="1:10" x14ac:dyDescent="0.2">
      <c r="A232" t="s">
        <v>192</v>
      </c>
      <c r="C232">
        <v>1.0999999999999999E-2</v>
      </c>
      <c r="D232" s="12"/>
      <c r="H232" s="78"/>
      <c r="I232" s="78"/>
      <c r="J232" s="12"/>
    </row>
    <row r="233" spans="1:10" x14ac:dyDescent="0.2">
      <c r="A233" t="s">
        <v>33</v>
      </c>
      <c r="C233">
        <v>2.2000000000000001E-3</v>
      </c>
      <c r="D233" s="12"/>
      <c r="H233" s="78"/>
      <c r="I233" s="78"/>
      <c r="J233" s="12"/>
    </row>
    <row r="234" spans="1:10" x14ac:dyDescent="0.2">
      <c r="A234" t="s">
        <v>193</v>
      </c>
      <c r="C234">
        <v>5.4000000000000001E-4</v>
      </c>
      <c r="D234" s="12"/>
      <c r="H234" s="78"/>
      <c r="I234" s="78"/>
      <c r="J234" s="12"/>
    </row>
    <row r="235" spans="1:10" x14ac:dyDescent="0.2">
      <c r="A235" s="10" t="s">
        <v>194</v>
      </c>
      <c r="C235">
        <v>0.6</v>
      </c>
      <c r="D235" s="12"/>
      <c r="E235" s="10" t="s">
        <v>195</v>
      </c>
      <c r="H235" s="12"/>
      <c r="I235" s="12"/>
      <c r="J235" s="12"/>
    </row>
    <row r="236" spans="1:10" x14ac:dyDescent="0.2">
      <c r="A236" s="10" t="s">
        <v>196</v>
      </c>
      <c r="C236">
        <v>60</v>
      </c>
      <c r="D236" s="12"/>
      <c r="H236" s="12"/>
      <c r="I236" s="12"/>
      <c r="J236" s="12"/>
    </row>
    <row r="237" spans="1:10" x14ac:dyDescent="0.2">
      <c r="A237" s="10" t="s">
        <v>197</v>
      </c>
      <c r="C237">
        <v>365</v>
      </c>
      <c r="D237" s="12"/>
      <c r="H237" s="12"/>
      <c r="I237" s="12"/>
      <c r="J237" s="12"/>
    </row>
    <row r="238" spans="1:10" x14ac:dyDescent="0.2">
      <c r="D238" s="22"/>
    </row>
    <row r="239" spans="1:10" x14ac:dyDescent="0.2">
      <c r="A239" t="s">
        <v>12</v>
      </c>
      <c r="D239" s="33">
        <f>+'Road Length'!C17</f>
        <v>214.28473624010422</v>
      </c>
      <c r="E239" s="10" t="s">
        <v>140</v>
      </c>
      <c r="G239">
        <f>+D239/1609</f>
        <v>0.1331788292356148</v>
      </c>
      <c r="H239" s="10" t="s">
        <v>114</v>
      </c>
    </row>
    <row r="240" spans="1:10" x14ac:dyDescent="0.2">
      <c r="A240" t="s">
        <v>13</v>
      </c>
      <c r="D240" s="33">
        <f>+'Road Length'!C17</f>
        <v>214.28473624010422</v>
      </c>
      <c r="E240" s="10" t="s">
        <v>140</v>
      </c>
      <c r="G240">
        <f>+D240/1609</f>
        <v>0.1331788292356148</v>
      </c>
      <c r="H240" s="10" t="s">
        <v>114</v>
      </c>
    </row>
    <row r="241" spans="1:11" x14ac:dyDescent="0.2">
      <c r="A241" t="s">
        <v>14</v>
      </c>
      <c r="D241" s="33">
        <f>+'Road Length'!F15</f>
        <v>392.3632046964409</v>
      </c>
      <c r="E241" s="10" t="s">
        <v>140</v>
      </c>
      <c r="G241">
        <f>+D241/1609</f>
        <v>0.24385531677839709</v>
      </c>
      <c r="H241" s="10" t="s">
        <v>114</v>
      </c>
    </row>
    <row r="242" spans="1:11" x14ac:dyDescent="0.2">
      <c r="A242" t="s">
        <v>15</v>
      </c>
      <c r="D242" s="33">
        <f>+'Road Length'!C17</f>
        <v>214.28473624010422</v>
      </c>
      <c r="E242" s="10" t="s">
        <v>140</v>
      </c>
      <c r="G242">
        <f>+D242/1609</f>
        <v>0.1331788292356148</v>
      </c>
      <c r="H242" s="10" t="s">
        <v>114</v>
      </c>
    </row>
    <row r="245" spans="1:11" x14ac:dyDescent="0.2">
      <c r="A245" t="s">
        <v>16</v>
      </c>
      <c r="D245" s="12">
        <f>+H245/F245</f>
        <v>1.3288043478260869</v>
      </c>
      <c r="E245" t="s">
        <v>19</v>
      </c>
      <c r="F245">
        <v>23</v>
      </c>
      <c r="G245" t="s">
        <v>30</v>
      </c>
      <c r="H245" s="12">
        <f>+C6*cuydhr/2000</f>
        <v>30.5625</v>
      </c>
      <c r="I245" t="s">
        <v>29</v>
      </c>
      <c r="K245" s="12"/>
    </row>
    <row r="246" spans="1:11" x14ac:dyDescent="0.2">
      <c r="A246" t="s">
        <v>47</v>
      </c>
      <c r="D246" s="12">
        <f>+H246/F246</f>
        <v>0.35869565217391303</v>
      </c>
      <c r="E246" t="s">
        <v>19</v>
      </c>
      <c r="F246">
        <v>23</v>
      </c>
      <c r="G246" t="s">
        <v>30</v>
      </c>
      <c r="H246" s="12">
        <f>+C7*cuydhr/2000</f>
        <v>8.25</v>
      </c>
      <c r="I246" t="s">
        <v>29</v>
      </c>
      <c r="K246" s="12"/>
    </row>
    <row r="247" spans="1:11" x14ac:dyDescent="0.2">
      <c r="A247" t="s">
        <v>17</v>
      </c>
      <c r="D247" s="12">
        <f>+H247/F247</f>
        <v>8.1521739130434785</v>
      </c>
      <c r="E247" t="s">
        <v>19</v>
      </c>
      <c r="F247">
        <v>23</v>
      </c>
      <c r="G247" t="s">
        <v>30</v>
      </c>
      <c r="H247" s="12">
        <f>+(C4+C5)*cuydhr/2000</f>
        <v>187.5</v>
      </c>
      <c r="I247" t="s">
        <v>29</v>
      </c>
      <c r="K247" s="12"/>
    </row>
    <row r="248" spans="1:11" x14ac:dyDescent="0.2">
      <c r="A248" t="s">
        <v>18</v>
      </c>
      <c r="D248" s="53">
        <f>+H248/F248</f>
        <v>10.416666666666666</v>
      </c>
      <c r="E248" s="54" t="s">
        <v>19</v>
      </c>
      <c r="F248">
        <v>12</v>
      </c>
      <c r="G248" s="10" t="s">
        <v>86</v>
      </c>
      <c r="H248" s="12">
        <f>+cuydhr</f>
        <v>125</v>
      </c>
      <c r="I248" t="s">
        <v>7</v>
      </c>
      <c r="K248" s="12"/>
    </row>
    <row r="249" spans="1:11" x14ac:dyDescent="0.2">
      <c r="D249" s="12">
        <f>SUM(D245:D248)</f>
        <v>20.256340579710145</v>
      </c>
      <c r="E249" t="s">
        <v>19</v>
      </c>
      <c r="H249" s="12"/>
      <c r="K249" s="12"/>
    </row>
    <row r="250" spans="1:11" x14ac:dyDescent="0.2">
      <c r="D250" s="12"/>
      <c r="H250" s="12"/>
    </row>
    <row r="251" spans="1:11" x14ac:dyDescent="0.2">
      <c r="A251" s="10" t="s">
        <v>95</v>
      </c>
      <c r="D251" s="12">
        <f>+H251/F251</f>
        <v>5315.217391304348</v>
      </c>
      <c r="E251" s="10" t="s">
        <v>99</v>
      </c>
      <c r="F251">
        <v>23</v>
      </c>
      <c r="G251" t="s">
        <v>30</v>
      </c>
      <c r="H251" s="12">
        <f>+C6*cuydyr/2000</f>
        <v>122250</v>
      </c>
      <c r="I251" s="10" t="s">
        <v>57</v>
      </c>
    </row>
    <row r="252" spans="1:11" x14ac:dyDescent="0.2">
      <c r="A252" s="10" t="s">
        <v>96</v>
      </c>
      <c r="D252" s="12">
        <f>+H252/F252</f>
        <v>1434.7826086956522</v>
      </c>
      <c r="E252" s="10" t="s">
        <v>99</v>
      </c>
      <c r="F252">
        <v>23</v>
      </c>
      <c r="G252" t="s">
        <v>30</v>
      </c>
      <c r="H252" s="12">
        <f>+C7*cuydyr/2000</f>
        <v>33000</v>
      </c>
      <c r="I252" s="10" t="s">
        <v>57</v>
      </c>
    </row>
    <row r="253" spans="1:11" x14ac:dyDescent="0.2">
      <c r="A253" s="10" t="s">
        <v>97</v>
      </c>
      <c r="D253" s="12">
        <f>+H253/F253</f>
        <v>32608.695652173912</v>
      </c>
      <c r="E253" s="10" t="s">
        <v>99</v>
      </c>
      <c r="F253">
        <v>23</v>
      </c>
      <c r="G253" t="s">
        <v>30</v>
      </c>
      <c r="H253" s="12">
        <f>+(C4+C5)*cuydyr/2000</f>
        <v>750000</v>
      </c>
      <c r="I253" s="10" t="s">
        <v>57</v>
      </c>
    </row>
    <row r="254" spans="1:11" x14ac:dyDescent="0.2">
      <c r="A254" s="10" t="s">
        <v>98</v>
      </c>
      <c r="D254" s="53">
        <f>+H254/F254</f>
        <v>41666.666666666664</v>
      </c>
      <c r="E254" s="55" t="s">
        <v>99</v>
      </c>
      <c r="F254">
        <v>12</v>
      </c>
      <c r="G254" s="10" t="s">
        <v>86</v>
      </c>
      <c r="H254" s="12">
        <f>+cuydyr</f>
        <v>500000</v>
      </c>
      <c r="I254" s="10" t="s">
        <v>57</v>
      </c>
    </row>
    <row r="255" spans="1:11" x14ac:dyDescent="0.2">
      <c r="D255" s="12">
        <f>SUM(D251:D254)</f>
        <v>81025.362318840576</v>
      </c>
      <c r="E255" s="10" t="s">
        <v>99</v>
      </c>
    </row>
    <row r="256" spans="1:11" x14ac:dyDescent="0.2">
      <c r="D256" s="12"/>
    </row>
    <row r="257" spans="1:16" x14ac:dyDescent="0.2">
      <c r="A257" t="s">
        <v>12</v>
      </c>
      <c r="D257" s="1">
        <f>+D245*G239</f>
        <v>0.17696860732667294</v>
      </c>
      <c r="E257" s="10" t="s">
        <v>115</v>
      </c>
      <c r="F257" s="30">
        <f>+D257*unhrsyr</f>
        <v>1550.2450001816549</v>
      </c>
      <c r="G257" s="10" t="s">
        <v>87</v>
      </c>
      <c r="I257" s="30">
        <f>+D251*G239</f>
        <v>707.8744293066917</v>
      </c>
      <c r="J257" s="10" t="s">
        <v>88</v>
      </c>
    </row>
    <row r="258" spans="1:16" x14ac:dyDescent="0.2">
      <c r="A258" t="s">
        <v>13</v>
      </c>
      <c r="D258" s="1">
        <f>+D246*G240</f>
        <v>4.7770667008427047E-2</v>
      </c>
      <c r="E258" s="10" t="s">
        <v>115</v>
      </c>
      <c r="F258" s="30">
        <f>+D258*unhrsyr</f>
        <v>418.4710429938209</v>
      </c>
      <c r="G258" s="10" t="s">
        <v>87</v>
      </c>
      <c r="I258" s="30">
        <f>+D252*G240</f>
        <v>191.08266803370822</v>
      </c>
      <c r="J258" s="10" t="s">
        <v>88</v>
      </c>
    </row>
    <row r="259" spans="1:16" x14ac:dyDescent="0.2">
      <c r="A259" t="s">
        <v>14</v>
      </c>
      <c r="D259" s="1">
        <f>+D247*G241</f>
        <v>1.9879509519978025</v>
      </c>
      <c r="E259" s="10" t="s">
        <v>115</v>
      </c>
      <c r="F259" s="30">
        <f>+D259*unhrsyr</f>
        <v>17414.450339500749</v>
      </c>
      <c r="G259" s="10" t="s">
        <v>87</v>
      </c>
      <c r="I259" s="30">
        <f>+D253*G241</f>
        <v>7951.8038079912094</v>
      </c>
      <c r="J259" s="10" t="s">
        <v>88</v>
      </c>
    </row>
    <row r="260" spans="1:16" x14ac:dyDescent="0.2">
      <c r="A260" t="s">
        <v>15</v>
      </c>
      <c r="D260" s="95">
        <f>+D248*G242</f>
        <v>1.3872794712043208</v>
      </c>
      <c r="E260" s="55" t="s">
        <v>115</v>
      </c>
      <c r="F260" s="96">
        <f>+D260*unhrsyr</f>
        <v>12152.568167749851</v>
      </c>
      <c r="G260" s="55" t="s">
        <v>87</v>
      </c>
      <c r="H260" s="54"/>
      <c r="I260" s="96">
        <f>+D254*G242</f>
        <v>5549.1178848172831</v>
      </c>
      <c r="J260" s="55" t="s">
        <v>88</v>
      </c>
      <c r="K260" s="54"/>
    </row>
    <row r="261" spans="1:16" x14ac:dyDescent="0.2">
      <c r="D261" s="1">
        <f>SUM(D257:D260)</f>
        <v>3.5999696975372233</v>
      </c>
      <c r="E261" s="10" t="s">
        <v>115</v>
      </c>
      <c r="F261" s="30">
        <f>SUM(F257:F260)</f>
        <v>31535.734550426074</v>
      </c>
      <c r="I261" s="30">
        <f>SUM(I257:I260)</f>
        <v>14399.878790148894</v>
      </c>
    </row>
    <row r="262" spans="1:16" x14ac:dyDescent="0.2">
      <c r="F262" s="30"/>
      <c r="I262" s="30"/>
    </row>
    <row r="263" spans="1:16" x14ac:dyDescent="0.2">
      <c r="A263" t="s">
        <v>20</v>
      </c>
      <c r="D263">
        <v>26.5</v>
      </c>
      <c r="E263" s="10" t="s">
        <v>142</v>
      </c>
      <c r="G263" s="10" t="s">
        <v>143</v>
      </c>
    </row>
    <row r="264" spans="1:16" x14ac:dyDescent="0.2">
      <c r="A264" t="s">
        <v>21</v>
      </c>
      <c r="D264">
        <v>26.5</v>
      </c>
      <c r="E264" s="10" t="s">
        <v>142</v>
      </c>
      <c r="G264" s="10" t="s">
        <v>143</v>
      </c>
    </row>
    <row r="265" spans="1:16" x14ac:dyDescent="0.2">
      <c r="A265" t="s">
        <v>22</v>
      </c>
      <c r="D265">
        <v>26.5</v>
      </c>
      <c r="E265" s="10" t="s">
        <v>142</v>
      </c>
      <c r="G265" s="10" t="s">
        <v>143</v>
      </c>
    </row>
    <row r="266" spans="1:16" x14ac:dyDescent="0.2">
      <c r="A266" t="s">
        <v>23</v>
      </c>
      <c r="D266">
        <v>25</v>
      </c>
      <c r="E266" s="10" t="s">
        <v>142</v>
      </c>
    </row>
    <row r="267" spans="1:16" x14ac:dyDescent="0.2">
      <c r="E267" s="10"/>
    </row>
    <row r="268" spans="1:16" x14ac:dyDescent="0.2">
      <c r="D268" s="103" t="s">
        <v>122</v>
      </c>
      <c r="E268" s="103"/>
      <c r="F268" s="103"/>
      <c r="G268" s="103"/>
      <c r="H268" s="103" t="s">
        <v>123</v>
      </c>
      <c r="I268" s="103"/>
      <c r="J268" s="103"/>
      <c r="K268" s="103"/>
    </row>
    <row r="269" spans="1:16" x14ac:dyDescent="0.2">
      <c r="A269" t="s">
        <v>24</v>
      </c>
      <c r="D269" s="57">
        <f>+C$232*C$235^0.91*D263^1.02*D257</f>
        <v>3.4603286425487094E-2</v>
      </c>
      <c r="E269" s="57" t="s">
        <v>11</v>
      </c>
      <c r="F269" s="57">
        <f>+C$232*C$235^0.91*D263^1.02*F257*(1-C$236/(4*C$237))/2000</f>
        <v>0.14533380298704579</v>
      </c>
      <c r="G269" s="57" t="s">
        <v>57</v>
      </c>
      <c r="H269" s="57">
        <f>+C$232*C$235^0.91*D263^1.02*D257</f>
        <v>3.4603286425487094E-2</v>
      </c>
      <c r="I269" s="57" t="s">
        <v>11</v>
      </c>
      <c r="J269" s="57">
        <f>+C$232*C$235^0.91*D263^1.02*I257*(1-C$236/(4*C$237))/2000</f>
        <v>6.6362467117372509E-2</v>
      </c>
      <c r="K269" s="57" t="s">
        <v>57</v>
      </c>
      <c r="O269" s="30"/>
      <c r="P269" s="30"/>
    </row>
    <row r="270" spans="1:16" x14ac:dyDescent="0.2">
      <c r="A270" t="s">
        <v>25</v>
      </c>
      <c r="D270" s="57">
        <f>+C$232*C$235^0.91*D264^1.02*D258</f>
        <v>9.3407644338738167E-3</v>
      </c>
      <c r="E270" s="57" t="s">
        <v>11</v>
      </c>
      <c r="F270" s="57">
        <f>+C$232*C$235^0.91*D264^1.02*F258*(1-C$236/(4*C$237))/2000</f>
        <v>3.923121062227003E-2</v>
      </c>
      <c r="G270" s="57" t="s">
        <v>57</v>
      </c>
      <c r="H270" s="57">
        <f t="shared" ref="H270:H272" si="8">+C$232*C$235^0.91*D264^1.02*D258</f>
        <v>9.3407644338738167E-3</v>
      </c>
      <c r="I270" s="57" t="s">
        <v>11</v>
      </c>
      <c r="J270" s="57">
        <f t="shared" ref="J270:J272" si="9">+C$232*C$235^0.91*D264^1.02*I258*(1-C$236/(4*C$237))/2000</f>
        <v>1.7913794804689513E-2</v>
      </c>
      <c r="K270" s="57" t="s">
        <v>57</v>
      </c>
      <c r="O270" s="30"/>
      <c r="P270" s="30"/>
    </row>
    <row r="271" spans="1:16" x14ac:dyDescent="0.2">
      <c r="A271" t="s">
        <v>26</v>
      </c>
      <c r="D271" s="57">
        <f>+C$232*C$235^0.91*D265^1.02*D259</f>
        <v>0.38871095405536166</v>
      </c>
      <c r="E271" s="57" t="s">
        <v>11</v>
      </c>
      <c r="F271" s="57">
        <f t="shared" ref="F271:F272" si="10">+C$232*C$235^0.91*D265^1.02*F259*(1-C$236/(4*C$237))/2000</f>
        <v>1.6325860070325191</v>
      </c>
      <c r="G271" s="57" t="s">
        <v>57</v>
      </c>
      <c r="H271" s="57">
        <f t="shared" si="8"/>
        <v>0.38871095405536166</v>
      </c>
      <c r="I271" s="57" t="s">
        <v>11</v>
      </c>
      <c r="J271" s="57">
        <f t="shared" si="9"/>
        <v>0.74547306257192647</v>
      </c>
      <c r="K271" s="57" t="s">
        <v>57</v>
      </c>
      <c r="L271" s="57"/>
      <c r="O271" s="30"/>
      <c r="P271" s="30"/>
    </row>
    <row r="272" spans="1:16" x14ac:dyDescent="0.2">
      <c r="A272" t="s">
        <v>27</v>
      </c>
      <c r="D272" s="57">
        <f>+C$232*C$235^0.91*D266^1.02*D260</f>
        <v>0.2556072050481914</v>
      </c>
      <c r="E272" s="57" t="s">
        <v>11</v>
      </c>
      <c r="F272" s="57">
        <f t="shared" si="10"/>
        <v>1.0735502612024042</v>
      </c>
      <c r="G272" s="57" t="s">
        <v>57</v>
      </c>
      <c r="H272" s="57">
        <f t="shared" si="8"/>
        <v>0.2556072050481914</v>
      </c>
      <c r="I272" s="57" t="s">
        <v>11</v>
      </c>
      <c r="J272" s="57">
        <f t="shared" si="9"/>
        <v>0.49020559872255887</v>
      </c>
      <c r="K272" s="57" t="s">
        <v>57</v>
      </c>
      <c r="O272" s="30"/>
      <c r="P272" s="30"/>
    </row>
    <row r="273" spans="1:16" x14ac:dyDescent="0.2">
      <c r="C273" s="17" t="s">
        <v>60</v>
      </c>
      <c r="D273" s="57">
        <f>SUM(D269:D272)</f>
        <v>0.68826220996291398</v>
      </c>
      <c r="E273" s="57" t="s">
        <v>11</v>
      </c>
      <c r="F273" s="57">
        <f>SUM(F269:F272)</f>
        <v>2.890701281844239</v>
      </c>
      <c r="G273" s="57" t="s">
        <v>57</v>
      </c>
      <c r="H273" s="57">
        <f>SUM(H269:H272)</f>
        <v>0.68826220996291398</v>
      </c>
      <c r="I273" s="57" t="s">
        <v>11</v>
      </c>
      <c r="J273" s="57">
        <f>SUM(J269:J272)</f>
        <v>1.3199549232165473</v>
      </c>
      <c r="K273" s="57" t="s">
        <v>57</v>
      </c>
      <c r="O273" s="30"/>
      <c r="P273" s="30"/>
    </row>
    <row r="274" spans="1:16" x14ac:dyDescent="0.2">
      <c r="C274" s="17"/>
      <c r="D274" s="57"/>
      <c r="E274" s="57"/>
      <c r="F274" s="57"/>
      <c r="G274" s="57"/>
      <c r="H274" s="57"/>
      <c r="I274" s="57"/>
      <c r="J274" s="57"/>
      <c r="K274" s="57"/>
      <c r="O274" s="30"/>
      <c r="P274" s="30"/>
    </row>
    <row r="275" spans="1:16" x14ac:dyDescent="0.2">
      <c r="D275" s="105" t="s">
        <v>31</v>
      </c>
      <c r="E275" s="105"/>
      <c r="F275" s="105"/>
      <c r="G275" s="105"/>
      <c r="H275" s="105" t="s">
        <v>28</v>
      </c>
      <c r="I275" s="105"/>
      <c r="J275" s="105"/>
      <c r="K275" s="105"/>
      <c r="O275" s="30"/>
      <c r="P275" s="30"/>
    </row>
    <row r="276" spans="1:16" x14ac:dyDescent="0.2">
      <c r="A276" t="s">
        <v>24</v>
      </c>
      <c r="D276" s="57">
        <f>+C$233*C$235^0.91*D263^1.02*D257</f>
        <v>6.9206572850974198E-3</v>
      </c>
      <c r="E276" s="57" t="s">
        <v>11</v>
      </c>
      <c r="F276" s="57">
        <f>+C$233*C$235^0.91*D263^1.02*F257*(1-C$236/(4*C$237))/2000</f>
        <v>2.9066760597409164E-2</v>
      </c>
      <c r="G276" s="57" t="s">
        <v>57</v>
      </c>
      <c r="H276" s="57">
        <f>+C$233*C$235^0.91*D263^1.02*D257</f>
        <v>6.9206572850974198E-3</v>
      </c>
      <c r="I276" s="57" t="s">
        <v>11</v>
      </c>
      <c r="J276" s="57">
        <f>+C$233*C$235^0.91*D263^1.02*I257*(1-C$236/(4*C$237))/2000</f>
        <v>1.3272493423474504E-2</v>
      </c>
      <c r="K276" s="57" t="s">
        <v>57</v>
      </c>
      <c r="O276" s="30"/>
      <c r="P276" s="30"/>
    </row>
    <row r="277" spans="1:16" x14ac:dyDescent="0.2">
      <c r="A277" t="s">
        <v>25</v>
      </c>
      <c r="D277" s="57">
        <f t="shared" ref="D277:D279" si="11">+C$233*C$235^0.91*D264^1.02*D258</f>
        <v>1.8681528867747635E-3</v>
      </c>
      <c r="E277" s="57" t="s">
        <v>11</v>
      </c>
      <c r="F277" s="57">
        <f t="shared" ref="F277:F279" si="12">+C$233*C$235^0.91*D264^1.02*F258*(1-C$236/(4*C$237))/2000</f>
        <v>7.8462421244540077E-3</v>
      </c>
      <c r="G277" s="57" t="s">
        <v>57</v>
      </c>
      <c r="H277" s="57">
        <f t="shared" ref="H277:H279" si="13">+C$233*C$235^0.91*D264^1.02*D258</f>
        <v>1.8681528867747635E-3</v>
      </c>
      <c r="I277" s="57" t="s">
        <v>11</v>
      </c>
      <c r="J277" s="57">
        <f>+C$233*C$235^0.91*D264^1.02*I258*(1-C$236/(4*C$237))/2000</f>
        <v>3.5827589609379036E-3</v>
      </c>
      <c r="K277" s="57" t="s">
        <v>57</v>
      </c>
      <c r="O277" s="30"/>
      <c r="P277" s="30"/>
    </row>
    <row r="278" spans="1:16" x14ac:dyDescent="0.2">
      <c r="A278" t="s">
        <v>26</v>
      </c>
      <c r="D278" s="57">
        <f t="shared" si="11"/>
        <v>7.7742190811072351E-2</v>
      </c>
      <c r="E278" s="57" t="s">
        <v>11</v>
      </c>
      <c r="F278" s="57">
        <f t="shared" si="12"/>
        <v>0.32651720140650381</v>
      </c>
      <c r="G278" s="57" t="s">
        <v>57</v>
      </c>
      <c r="H278" s="57">
        <f t="shared" si="13"/>
        <v>7.7742190811072351E-2</v>
      </c>
      <c r="I278" s="57" t="s">
        <v>11</v>
      </c>
      <c r="J278" s="57">
        <f>+C$233*C$235^0.91*D265^1.02*I259*(1-C$236/(4*C$237))/2000</f>
        <v>0.14909461251438536</v>
      </c>
      <c r="K278" s="57" t="s">
        <v>57</v>
      </c>
      <c r="L278" s="57"/>
      <c r="O278" s="30"/>
      <c r="P278" s="30"/>
    </row>
    <row r="279" spans="1:16" x14ac:dyDescent="0.2">
      <c r="A279" t="s">
        <v>27</v>
      </c>
      <c r="D279" s="57">
        <f t="shared" si="11"/>
        <v>5.1121441009638287E-2</v>
      </c>
      <c r="E279" s="57" t="s">
        <v>11</v>
      </c>
      <c r="F279" s="57">
        <f t="shared" si="12"/>
        <v>0.21471005224048079</v>
      </c>
      <c r="G279" s="57" t="s">
        <v>57</v>
      </c>
      <c r="H279" s="57">
        <f t="shared" si="13"/>
        <v>5.1121441009638287E-2</v>
      </c>
      <c r="I279" s="57" t="s">
        <v>11</v>
      </c>
      <c r="J279" s="57">
        <f>+C$233*C$235^0.91*D266^1.02*I260*(1-C$236/(4*C$237))/2000</f>
        <v>9.8041119744511782E-2</v>
      </c>
      <c r="K279" s="57" t="s">
        <v>57</v>
      </c>
      <c r="O279" s="30"/>
      <c r="P279" s="30"/>
    </row>
    <row r="280" spans="1:16" x14ac:dyDescent="0.2">
      <c r="C280" s="17" t="s">
        <v>60</v>
      </c>
      <c r="D280" s="57">
        <f>SUM(D276:D279)</f>
        <v>0.13765244199258281</v>
      </c>
      <c r="E280" s="57" t="s">
        <v>11</v>
      </c>
      <c r="F280" s="57">
        <f>SUM(F276:F279)</f>
        <v>0.5781402563688478</v>
      </c>
      <c r="G280" s="57" t="s">
        <v>57</v>
      </c>
      <c r="H280" s="57">
        <f>SUM(H276:H279)</f>
        <v>0.13765244199258281</v>
      </c>
      <c r="I280" s="57" t="s">
        <v>11</v>
      </c>
      <c r="J280" s="57">
        <f>SUM(J276:J279)</f>
        <v>0.26399098464330956</v>
      </c>
      <c r="K280" s="57" t="s">
        <v>57</v>
      </c>
      <c r="O280" s="30"/>
      <c r="P280" s="30"/>
    </row>
    <row r="281" spans="1:16" x14ac:dyDescent="0.2">
      <c r="D281" s="57"/>
      <c r="E281" s="57"/>
      <c r="F281" s="57"/>
      <c r="G281" s="57"/>
      <c r="H281" s="57"/>
      <c r="I281" s="57"/>
      <c r="J281" s="57"/>
      <c r="K281" s="57"/>
      <c r="O281" s="30"/>
      <c r="P281" s="30"/>
    </row>
    <row r="282" spans="1:16" x14ac:dyDescent="0.2">
      <c r="D282" s="105" t="s">
        <v>82</v>
      </c>
      <c r="E282" s="105"/>
      <c r="F282" s="105"/>
      <c r="G282" s="105"/>
      <c r="H282" s="105" t="s">
        <v>83</v>
      </c>
      <c r="I282" s="105"/>
      <c r="J282" s="105"/>
      <c r="K282" s="105"/>
      <c r="O282" s="30"/>
      <c r="P282" s="30"/>
    </row>
    <row r="283" spans="1:16" x14ac:dyDescent="0.2">
      <c r="A283" t="s">
        <v>24</v>
      </c>
      <c r="D283" s="57">
        <f>+C$234*C$235^0.91*D263^1.02*D257</f>
        <v>1.6987067881602759E-3</v>
      </c>
      <c r="E283" s="57" t="s">
        <v>11</v>
      </c>
      <c r="F283" s="57">
        <f>+C$234*C$235^0.91*D263^1.02*F257*(1-C$236/(4*C$237))/2000</f>
        <v>7.1345685102731588E-3</v>
      </c>
      <c r="G283" s="57" t="s">
        <v>57</v>
      </c>
      <c r="H283" s="57">
        <f>+C$234*C$235^0.91*D263^1.02*D257</f>
        <v>1.6987067881602759E-3</v>
      </c>
      <c r="I283" s="57" t="s">
        <v>11</v>
      </c>
      <c r="J283" s="57">
        <f>+C$234*C$235^0.91*D263^1.02*I257*(1-C$236/(4*C$237))/2000</f>
        <v>3.2577938403073781E-3</v>
      </c>
      <c r="K283" s="57" t="s">
        <v>57</v>
      </c>
      <c r="O283" s="30"/>
      <c r="P283" s="30"/>
    </row>
    <row r="284" spans="1:16" x14ac:dyDescent="0.2">
      <c r="A284" t="s">
        <v>25</v>
      </c>
      <c r="D284" s="57">
        <f t="shared" ref="D284:D286" si="14">+C$234*C$235^0.91*D264^1.02*D258</f>
        <v>4.5854661766289652E-4</v>
      </c>
      <c r="E284" s="57" t="s">
        <v>11</v>
      </c>
      <c r="F284" s="57">
        <f t="shared" ref="F284:F286" si="15">+C$234*C$235^0.91*D264^1.02*F258*(1-C$236/(4*C$237))/2000</f>
        <v>1.9258957941841654E-3</v>
      </c>
      <c r="G284" s="57" t="s">
        <v>57</v>
      </c>
      <c r="H284" s="57">
        <f t="shared" ref="H284:H286" si="16">+C$234*C$235^0.91*D264^1.02*D258</f>
        <v>4.5854661766289652E-4</v>
      </c>
      <c r="I284" s="57" t="s">
        <v>11</v>
      </c>
      <c r="J284" s="57">
        <f>+C$234*C$235^0.91*D264^1.02*I258*(1-C$236/(4*C$237))/2000</f>
        <v>8.794044722302127E-4</v>
      </c>
      <c r="K284" s="57" t="s">
        <v>57</v>
      </c>
      <c r="O284" s="22"/>
      <c r="P284" s="22"/>
    </row>
    <row r="285" spans="1:16" x14ac:dyDescent="0.2">
      <c r="A285" t="s">
        <v>26</v>
      </c>
      <c r="D285" s="57">
        <f t="shared" si="14"/>
        <v>1.9082174108172301E-2</v>
      </c>
      <c r="E285" s="57" t="s">
        <v>11</v>
      </c>
      <c r="F285" s="57">
        <f t="shared" si="15"/>
        <v>8.0145131254323668E-2</v>
      </c>
      <c r="G285" s="57" t="s">
        <v>57</v>
      </c>
      <c r="H285" s="57">
        <f t="shared" si="16"/>
        <v>1.9082174108172301E-2</v>
      </c>
      <c r="I285" s="57" t="s">
        <v>11</v>
      </c>
      <c r="J285" s="57">
        <f t="shared" ref="J285" si="17">+C$234*C$235^0.91*D265^1.02*I259*(1-C$236/(4*C$237))/2000</f>
        <v>3.6595950344440034E-2</v>
      </c>
      <c r="K285" s="57" t="s">
        <v>57</v>
      </c>
      <c r="L285" s="57"/>
      <c r="O285" s="30"/>
      <c r="P285" s="30"/>
    </row>
    <row r="286" spans="1:16" x14ac:dyDescent="0.2">
      <c r="A286" t="s">
        <v>27</v>
      </c>
      <c r="D286" s="57">
        <f t="shared" si="14"/>
        <v>1.2547990066002124E-2</v>
      </c>
      <c r="E286" s="57" t="s">
        <v>11</v>
      </c>
      <c r="F286" s="57">
        <f t="shared" si="15"/>
        <v>5.2701558277208925E-2</v>
      </c>
      <c r="G286" s="57" t="s">
        <v>57</v>
      </c>
      <c r="H286" s="57">
        <f t="shared" si="16"/>
        <v>1.2547990066002124E-2</v>
      </c>
      <c r="I286" s="57" t="s">
        <v>11</v>
      </c>
      <c r="J286" s="57">
        <f>+C$234*C$235^0.91*D266^1.02*I260*(1-C$236/(4*C$237))/2000</f>
        <v>2.4064638482743799E-2</v>
      </c>
      <c r="K286" s="57" t="s">
        <v>57</v>
      </c>
      <c r="O286" s="30"/>
      <c r="P286" s="30"/>
    </row>
    <row r="287" spans="1:16" x14ac:dyDescent="0.2">
      <c r="C287" s="17" t="s">
        <v>60</v>
      </c>
      <c r="D287" s="57">
        <f>SUM(D283:D286)</f>
        <v>3.3787417579997599E-2</v>
      </c>
      <c r="E287" s="57" t="s">
        <v>11</v>
      </c>
      <c r="F287" s="57">
        <f>SUM(F283:F286)</f>
        <v>0.14190715383598992</v>
      </c>
      <c r="G287" s="57" t="s">
        <v>57</v>
      </c>
      <c r="H287" s="57">
        <f>SUM(H283:H286)</f>
        <v>3.3787417579997599E-2</v>
      </c>
      <c r="I287" s="57" t="s">
        <v>11</v>
      </c>
      <c r="J287" s="57">
        <f>SUM(J283:J286)</f>
        <v>6.4797787139721424E-2</v>
      </c>
      <c r="K287" s="57" t="s">
        <v>57</v>
      </c>
      <c r="O287" s="30"/>
      <c r="P287" s="30"/>
    </row>
  </sheetData>
  <mergeCells count="13">
    <mergeCell ref="A186:K186"/>
    <mergeCell ref="A208:K208"/>
    <mergeCell ref="D282:G282"/>
    <mergeCell ref="H268:K268"/>
    <mergeCell ref="H275:K275"/>
    <mergeCell ref="H282:K282"/>
    <mergeCell ref="D268:G268"/>
    <mergeCell ref="D275:G275"/>
    <mergeCell ref="F26:G26"/>
    <mergeCell ref="F83:G83"/>
    <mergeCell ref="F46:G46"/>
    <mergeCell ref="F66:G66"/>
    <mergeCell ref="F125:G125"/>
  </mergeCells>
  <phoneticPr fontId="0" type="noConversion"/>
  <printOptions horizontalCentered="1"/>
  <pageMargins left="0.75" right="0.75" top="0.73906249999999996" bottom="0.37" header="0.4" footer="0.42"/>
  <pageSetup scale="55" fitToHeight="0" orientation="portrait" r:id="rId1"/>
  <headerFooter alignWithMargins="0">
    <oddHeader>&amp;C&amp;"Times New Roman,Bold"&amp;12Roper Construction, Inc. Alto Concrete Batch Plant Emissions Inventory
125 CuFt/Hr; 500,000 CuFt per Year</oddHeader>
  </headerFooter>
  <rowBreaks count="3" manualBreakCount="3">
    <brk id="76" max="10" man="1"/>
    <brk id="161" max="10" man="1"/>
    <brk id="22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Layout" topLeftCell="A7" zoomScaleNormal="100" workbookViewId="0">
      <selection activeCell="A2" sqref="A2"/>
    </sheetView>
  </sheetViews>
  <sheetFormatPr defaultRowHeight="12.75" x14ac:dyDescent="0.2"/>
  <cols>
    <col min="1" max="1" width="17.1640625" customWidth="1"/>
    <col min="3" max="3" width="12.1640625" customWidth="1"/>
    <col min="5" max="5" width="16.83203125" customWidth="1"/>
    <col min="6" max="6" width="7.1640625" customWidth="1"/>
  </cols>
  <sheetData>
    <row r="1" spans="1:7" ht="17.25" customHeight="1" x14ac:dyDescent="0.2">
      <c r="A1" s="8" t="s">
        <v>101</v>
      </c>
      <c r="G1" s="10"/>
    </row>
    <row r="2" spans="1:7" x14ac:dyDescent="0.2">
      <c r="A2" s="10" t="s">
        <v>223</v>
      </c>
      <c r="C2" s="10" t="s">
        <v>89</v>
      </c>
      <c r="F2" s="10"/>
    </row>
    <row r="3" spans="1:7" x14ac:dyDescent="0.2">
      <c r="A3" s="10" t="s">
        <v>216</v>
      </c>
      <c r="C3" s="10" t="s">
        <v>124</v>
      </c>
      <c r="F3" s="10"/>
    </row>
    <row r="4" spans="1:7" x14ac:dyDescent="0.2">
      <c r="A4" t="s">
        <v>206</v>
      </c>
      <c r="D4" s="65" t="s">
        <v>207</v>
      </c>
    </row>
    <row r="5" spans="1:7" x14ac:dyDescent="0.2">
      <c r="B5">
        <v>600000</v>
      </c>
      <c r="C5" t="s">
        <v>208</v>
      </c>
      <c r="E5" t="s">
        <v>102</v>
      </c>
      <c r="F5">
        <v>945</v>
      </c>
      <c r="G5" s="10" t="s">
        <v>209</v>
      </c>
    </row>
    <row r="6" spans="1:7" x14ac:dyDescent="0.2">
      <c r="B6" s="12">
        <f>+B5/F5</f>
        <v>634.92063492063494</v>
      </c>
      <c r="C6" s="10" t="s">
        <v>210</v>
      </c>
      <c r="E6" t="s">
        <v>211</v>
      </c>
      <c r="F6" s="21">
        <v>0.75</v>
      </c>
      <c r="G6" s="10" t="s">
        <v>212</v>
      </c>
    </row>
    <row r="8" spans="1:7" x14ac:dyDescent="0.2">
      <c r="A8" t="s">
        <v>64</v>
      </c>
      <c r="C8">
        <v>8760</v>
      </c>
    </row>
    <row r="9" spans="1:7" x14ac:dyDescent="0.2">
      <c r="A9" t="s">
        <v>65</v>
      </c>
      <c r="C9">
        <v>8760</v>
      </c>
    </row>
    <row r="11" spans="1:7" ht="12.75" customHeight="1" x14ac:dyDescent="0.2">
      <c r="A11" t="s">
        <v>49</v>
      </c>
    </row>
    <row r="12" spans="1:7" ht="12.75" customHeight="1" x14ac:dyDescent="0.2">
      <c r="A12" t="s">
        <v>53</v>
      </c>
      <c r="B12" s="19">
        <v>100</v>
      </c>
      <c r="C12" s="10" t="s">
        <v>213</v>
      </c>
    </row>
    <row r="13" spans="1:7" x14ac:dyDescent="0.2">
      <c r="A13" t="s">
        <v>50</v>
      </c>
      <c r="B13" s="19">
        <v>84</v>
      </c>
      <c r="C13" s="10" t="s">
        <v>213</v>
      </c>
    </row>
    <row r="14" spans="1:7" x14ac:dyDescent="0.2">
      <c r="A14" t="s">
        <v>51</v>
      </c>
      <c r="B14" s="19">
        <v>11</v>
      </c>
      <c r="C14" s="10" t="s">
        <v>213</v>
      </c>
    </row>
    <row r="15" spans="1:7" x14ac:dyDescent="0.2">
      <c r="A15" t="s">
        <v>66</v>
      </c>
      <c r="B15" s="65">
        <v>0.75</v>
      </c>
      <c r="C15" s="10" t="s">
        <v>212</v>
      </c>
    </row>
    <row r="16" spans="1:7" x14ac:dyDescent="0.2">
      <c r="A16" t="s">
        <v>52</v>
      </c>
      <c r="B16" s="19">
        <v>7.6</v>
      </c>
      <c r="C16" s="10" t="s">
        <v>213</v>
      </c>
    </row>
    <row r="18" spans="1:5" x14ac:dyDescent="0.2">
      <c r="A18" t="s">
        <v>62</v>
      </c>
    </row>
    <row r="19" spans="1:5" x14ac:dyDescent="0.2">
      <c r="A19" t="s">
        <v>53</v>
      </c>
      <c r="B19" s="22">
        <f>+B12*B$6/1000000</f>
        <v>6.3492063492063489E-2</v>
      </c>
      <c r="C19" t="s">
        <v>11</v>
      </c>
      <c r="D19" s="30">
        <f>+B19*C$8/2000</f>
        <v>0.27809523809523806</v>
      </c>
      <c r="E19" s="10" t="s">
        <v>214</v>
      </c>
    </row>
    <row r="20" spans="1:5" x14ac:dyDescent="0.2">
      <c r="A20" t="s">
        <v>50</v>
      </c>
      <c r="B20" s="22">
        <f t="shared" ref="B20:B23" si="0">+B13*B$6/1000000</f>
        <v>5.3333333333333337E-2</v>
      </c>
      <c r="C20" t="s">
        <v>11</v>
      </c>
      <c r="D20" s="30">
        <f t="shared" ref="D20:D23" si="1">+B20*C$8/2000</f>
        <v>0.23360000000000003</v>
      </c>
      <c r="E20" s="10" t="s">
        <v>214</v>
      </c>
    </row>
    <row r="21" spans="1:5" x14ac:dyDescent="0.2">
      <c r="A21" t="s">
        <v>51</v>
      </c>
      <c r="B21" s="57">
        <f t="shared" si="0"/>
        <v>6.9841269841269841E-3</v>
      </c>
      <c r="C21" t="s">
        <v>11</v>
      </c>
      <c r="D21" s="22">
        <f t="shared" si="1"/>
        <v>3.0590476190476192E-2</v>
      </c>
      <c r="E21" s="10" t="s">
        <v>214</v>
      </c>
    </row>
    <row r="22" spans="1:5" x14ac:dyDescent="0.2">
      <c r="A22" t="s">
        <v>215</v>
      </c>
      <c r="B22" s="1">
        <f>+B15*B$6/100/7000</f>
        <v>6.8027210884353737E-4</v>
      </c>
      <c r="C22" t="s">
        <v>11</v>
      </c>
      <c r="D22" s="57">
        <f>+B22*C$8/2000</f>
        <v>2.9795918367346934E-3</v>
      </c>
      <c r="E22" s="10" t="s">
        <v>214</v>
      </c>
    </row>
    <row r="23" spans="1:5" x14ac:dyDescent="0.2">
      <c r="A23" t="s">
        <v>52</v>
      </c>
      <c r="B23" s="57">
        <f t="shared" si="0"/>
        <v>4.8253968253968247E-3</v>
      </c>
      <c r="C23" t="s">
        <v>11</v>
      </c>
      <c r="D23" s="22">
        <f t="shared" si="1"/>
        <v>2.1135238095238089E-2</v>
      </c>
      <c r="E23" s="10" t="s">
        <v>214</v>
      </c>
    </row>
    <row r="24" spans="1:5" x14ac:dyDescent="0.2">
      <c r="B24" s="22"/>
      <c r="D24" s="22"/>
    </row>
    <row r="25" spans="1:5" x14ac:dyDescent="0.2">
      <c r="B25" s="22"/>
      <c r="D25" s="22"/>
    </row>
    <row r="26" spans="1:5" x14ac:dyDescent="0.2">
      <c r="A26" t="s">
        <v>63</v>
      </c>
      <c r="B26" s="22"/>
      <c r="D26" s="22"/>
    </row>
    <row r="27" spans="1:5" x14ac:dyDescent="0.2">
      <c r="A27" t="s">
        <v>53</v>
      </c>
      <c r="B27" s="89">
        <f>+B12*B$6/1000000</f>
        <v>6.3492063492063489E-2</v>
      </c>
      <c r="C27" s="88" t="s">
        <v>11</v>
      </c>
      <c r="D27" s="87">
        <f>+B27*C$9/2000</f>
        <v>0.27809523809523806</v>
      </c>
      <c r="E27" s="10" t="s">
        <v>214</v>
      </c>
    </row>
    <row r="28" spans="1:5" x14ac:dyDescent="0.2">
      <c r="A28" t="s">
        <v>50</v>
      </c>
      <c r="B28" s="89">
        <f t="shared" ref="B28:B31" si="2">+B13*B$6/1000000</f>
        <v>5.3333333333333337E-2</v>
      </c>
      <c r="C28" s="88" t="s">
        <v>11</v>
      </c>
      <c r="D28" s="87">
        <f t="shared" ref="D28:D31" si="3">+B28*C$9/2000</f>
        <v>0.23360000000000003</v>
      </c>
      <c r="E28" s="10" t="s">
        <v>214</v>
      </c>
    </row>
    <row r="29" spans="1:5" x14ac:dyDescent="0.2">
      <c r="A29" t="s">
        <v>51</v>
      </c>
      <c r="B29" s="90">
        <f t="shared" si="2"/>
        <v>6.9841269841269841E-3</v>
      </c>
      <c r="C29" s="88" t="s">
        <v>11</v>
      </c>
      <c r="D29" s="89">
        <f t="shared" si="3"/>
        <v>3.0590476190476192E-2</v>
      </c>
      <c r="E29" s="10" t="s">
        <v>214</v>
      </c>
    </row>
    <row r="30" spans="1:5" x14ac:dyDescent="0.2">
      <c r="A30" t="s">
        <v>215</v>
      </c>
      <c r="B30" s="91">
        <f>+B15*B$6/100/7000</f>
        <v>6.8027210884353737E-4</v>
      </c>
      <c r="C30" s="88" t="s">
        <v>11</v>
      </c>
      <c r="D30" s="90">
        <f t="shared" si="3"/>
        <v>2.9795918367346934E-3</v>
      </c>
      <c r="E30" s="10" t="s">
        <v>214</v>
      </c>
    </row>
    <row r="31" spans="1:5" x14ac:dyDescent="0.2">
      <c r="A31" t="s">
        <v>52</v>
      </c>
      <c r="B31" s="90">
        <f t="shared" si="2"/>
        <v>4.8253968253968247E-3</v>
      </c>
      <c r="C31" s="88" t="s">
        <v>11</v>
      </c>
      <c r="D31" s="89">
        <f t="shared" si="3"/>
        <v>2.1135238095238089E-2</v>
      </c>
      <c r="E31" s="10" t="s">
        <v>214</v>
      </c>
    </row>
  </sheetData>
  <pageMargins left="0.7" right="0.7" top="0.75" bottom="0.75" header="0.3" footer="0.3"/>
  <pageSetup orientation="portrait" r:id="rId1"/>
  <headerFooter>
    <oddHeader>&amp;C&amp;"Times New Roman,Bold"&amp;12Roper Construction, Inc. Heater Emissions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1"/>
  <sheetViews>
    <sheetView tabSelected="1" topLeftCell="A10" zoomScaleNormal="100" workbookViewId="0">
      <selection activeCell="B33" sqref="B33"/>
    </sheetView>
  </sheetViews>
  <sheetFormatPr defaultRowHeight="12.75" x14ac:dyDescent="0.2"/>
  <cols>
    <col min="1" max="1" width="13.83203125" customWidth="1"/>
    <col min="2" max="2" width="51.1640625" customWidth="1"/>
    <col min="3" max="3" width="10" style="30" customWidth="1"/>
    <col min="4" max="4" width="10" style="12" customWidth="1"/>
    <col min="5" max="5" width="10" style="30" customWidth="1"/>
    <col min="6" max="6" width="10" style="12" customWidth="1"/>
    <col min="7" max="7" width="10" style="30" customWidth="1"/>
    <col min="8" max="8" width="10" style="12" customWidth="1"/>
    <col min="9" max="9" width="10" style="30" customWidth="1"/>
    <col min="10" max="10" width="10" style="12" customWidth="1"/>
    <col min="11" max="11" width="10" style="11" customWidth="1"/>
    <col min="12" max="12" width="10" style="19" customWidth="1"/>
    <col min="13" max="13" width="10" style="11" customWidth="1"/>
    <col min="14" max="14" width="10" style="19" customWidth="1"/>
    <col min="15" max="15" width="10" style="11" customWidth="1"/>
    <col min="16" max="16" width="10" style="19" customWidth="1"/>
    <col min="17" max="17" width="16.83203125" bestFit="1" customWidth="1"/>
  </cols>
  <sheetData>
    <row r="1" spans="1:26" ht="13.5" thickBot="1" x14ac:dyDescent="0.25">
      <c r="A1" s="109" t="s">
        <v>72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26" ht="13.5" thickTop="1" x14ac:dyDescent="0.2">
      <c r="A2" s="110" t="s">
        <v>73</v>
      </c>
      <c r="B2" s="112" t="s">
        <v>74</v>
      </c>
      <c r="C2" s="106" t="s">
        <v>53</v>
      </c>
      <c r="D2" s="106"/>
      <c r="E2" s="106" t="s">
        <v>50</v>
      </c>
      <c r="F2" s="106"/>
      <c r="G2" s="106" t="s">
        <v>66</v>
      </c>
      <c r="H2" s="106"/>
      <c r="I2" s="106" t="s">
        <v>51</v>
      </c>
      <c r="J2" s="106"/>
      <c r="K2" s="107" t="s">
        <v>52</v>
      </c>
      <c r="L2" s="108"/>
      <c r="M2" s="106" t="s">
        <v>75</v>
      </c>
      <c r="N2" s="108"/>
      <c r="O2" s="106" t="s">
        <v>80</v>
      </c>
      <c r="P2" s="114"/>
    </row>
    <row r="3" spans="1:26" ht="13.5" thickBot="1" x14ac:dyDescent="0.25">
      <c r="A3" s="111"/>
      <c r="B3" s="113"/>
      <c r="C3" s="18" t="s">
        <v>11</v>
      </c>
      <c r="D3" s="14" t="s">
        <v>57</v>
      </c>
      <c r="E3" s="18" t="s">
        <v>11</v>
      </c>
      <c r="F3" s="14" t="s">
        <v>57</v>
      </c>
      <c r="G3" s="18" t="s">
        <v>11</v>
      </c>
      <c r="H3" s="14" t="s">
        <v>57</v>
      </c>
      <c r="I3" s="18" t="s">
        <v>11</v>
      </c>
      <c r="J3" s="14" t="s">
        <v>57</v>
      </c>
      <c r="K3" s="18" t="s">
        <v>11</v>
      </c>
      <c r="L3" s="14" t="s">
        <v>57</v>
      </c>
      <c r="M3" s="18" t="s">
        <v>11</v>
      </c>
      <c r="N3" s="14" t="s">
        <v>57</v>
      </c>
      <c r="O3" s="18" t="s">
        <v>11</v>
      </c>
      <c r="P3" s="23" t="s">
        <v>57</v>
      </c>
    </row>
    <row r="4" spans="1:26" ht="13.5" thickTop="1" x14ac:dyDescent="0.2">
      <c r="A4" s="37">
        <v>1</v>
      </c>
      <c r="B4" s="38" t="s">
        <v>77</v>
      </c>
      <c r="C4" s="24"/>
      <c r="D4" s="99"/>
      <c r="E4" s="24"/>
      <c r="F4" s="99"/>
      <c r="G4" s="24"/>
      <c r="H4" s="99"/>
      <c r="I4" s="24"/>
      <c r="J4" s="99"/>
      <c r="K4" s="24">
        <f>+'Material Handling'!D273</f>
        <v>0.68826220996291398</v>
      </c>
      <c r="L4" s="24">
        <f>+'Material Handling'!F273</f>
        <v>2.890701281844239</v>
      </c>
      <c r="M4" s="24">
        <f>+'Material Handling'!D280</f>
        <v>0.13765244199258281</v>
      </c>
      <c r="N4" s="24">
        <f>+'Material Handling'!F280</f>
        <v>0.5781402563688478</v>
      </c>
      <c r="O4" s="81">
        <f>+'Material Handling'!D287</f>
        <v>3.3787417579997599E-2</v>
      </c>
      <c r="P4" s="59">
        <f>+'Material Handling'!F287</f>
        <v>0.14190715383598992</v>
      </c>
    </row>
    <row r="5" spans="1:26" ht="15" customHeight="1" x14ac:dyDescent="0.2">
      <c r="A5" s="39">
        <v>2</v>
      </c>
      <c r="B5" s="40" t="s">
        <v>137</v>
      </c>
      <c r="C5" s="13"/>
      <c r="D5" s="15"/>
      <c r="E5" s="13"/>
      <c r="F5" s="15"/>
      <c r="G5" s="13"/>
      <c r="H5" s="15"/>
      <c r="I5" s="13"/>
      <c r="J5" s="15"/>
      <c r="K5" s="13">
        <f>+'Material Handling'!C$68</f>
        <v>0.8345074642940935</v>
      </c>
      <c r="L5" s="13">
        <f>+'Material Handling'!D$68</f>
        <v>3.6551426936081293</v>
      </c>
      <c r="M5" s="13">
        <f>+'Material Handling'!C$69</f>
        <v>0.39469947635531449</v>
      </c>
      <c r="N5" s="13">
        <f>+'Material Handling'!D$69</f>
        <v>1.7287837064362774</v>
      </c>
      <c r="O5" s="25">
        <f>+'Material Handling'!C$70</f>
        <v>5.9768777848090489E-2</v>
      </c>
      <c r="P5" s="29">
        <f>+'Material Handling'!D$70</f>
        <v>0.26178724697463635</v>
      </c>
    </row>
    <row r="6" spans="1:26" ht="15" customHeight="1" x14ac:dyDescent="0.2">
      <c r="A6" s="39">
        <v>3</v>
      </c>
      <c r="B6" s="40" t="s">
        <v>138</v>
      </c>
      <c r="C6" s="13"/>
      <c r="D6" s="15"/>
      <c r="E6" s="13"/>
      <c r="F6" s="15"/>
      <c r="G6" s="13"/>
      <c r="H6" s="15"/>
      <c r="I6" s="13"/>
      <c r="J6" s="15"/>
      <c r="K6" s="13">
        <f>+'Material Handling'!C$85</f>
        <v>0.5625</v>
      </c>
      <c r="L6" s="13">
        <f>+'Material Handling'!D$85</f>
        <v>2.4637500000000001</v>
      </c>
      <c r="M6" s="13">
        <f>+'Material Handling'!C$86</f>
        <v>0.20625000000000002</v>
      </c>
      <c r="N6" s="13">
        <f>+'Material Handling'!D$86</f>
        <v>0.90337500000000015</v>
      </c>
      <c r="O6" s="25">
        <f>+'Material Handling'!C$87</f>
        <v>3.1232142857142858E-2</v>
      </c>
      <c r="P6" s="29">
        <f>+'Material Handling'!D$87</f>
        <v>0.13679678571428572</v>
      </c>
    </row>
    <row r="7" spans="1:26" ht="15" customHeight="1" x14ac:dyDescent="0.2">
      <c r="A7" s="39">
        <v>4</v>
      </c>
      <c r="B7" s="40" t="s">
        <v>139</v>
      </c>
      <c r="C7" s="13"/>
      <c r="D7" s="15"/>
      <c r="E7" s="13"/>
      <c r="F7" s="15"/>
      <c r="G7" s="13"/>
      <c r="H7" s="15"/>
      <c r="I7" s="13"/>
      <c r="J7" s="15"/>
      <c r="K7" s="13">
        <f>+'Material Handling'!C106</f>
        <v>0.5625</v>
      </c>
      <c r="L7" s="13">
        <f>+'Material Handling'!D106</f>
        <v>2.4637500000000001</v>
      </c>
      <c r="M7" s="13">
        <f>+'Material Handling'!C107</f>
        <v>0.20625000000000002</v>
      </c>
      <c r="N7" s="13">
        <f>+'Material Handling'!D107</f>
        <v>0.90337500000000015</v>
      </c>
      <c r="O7" s="25">
        <f>+'Material Handling'!C108</f>
        <v>3.1232142857142858E-2</v>
      </c>
      <c r="P7" s="29">
        <f>+'Material Handling'!D108</f>
        <v>0.13679678571428572</v>
      </c>
    </row>
    <row r="8" spans="1:26" ht="15" customHeight="1" x14ac:dyDescent="0.2">
      <c r="A8" s="39" t="s">
        <v>111</v>
      </c>
      <c r="B8" s="40" t="s">
        <v>81</v>
      </c>
      <c r="C8" s="13"/>
      <c r="D8" s="15"/>
      <c r="E8" s="13"/>
      <c r="F8" s="15"/>
      <c r="G8" s="13"/>
      <c r="H8" s="15"/>
      <c r="I8" s="13"/>
      <c r="J8" s="15"/>
      <c r="K8" s="13">
        <f>+'Material Handling'!C127</f>
        <v>0.5625</v>
      </c>
      <c r="L8" s="13">
        <f>+'Material Handling'!D127</f>
        <v>2.4637500000000001</v>
      </c>
      <c r="M8" s="13">
        <f>+'Material Handling'!C128</f>
        <v>0.20625000000000002</v>
      </c>
      <c r="N8" s="13">
        <f>+'Material Handling'!D128</f>
        <v>0.90337500000000015</v>
      </c>
      <c r="O8" s="25">
        <f>+'Material Handling'!C129</f>
        <v>3.1232142857142858E-2</v>
      </c>
      <c r="P8" s="29">
        <f>+'Material Handling'!D129</f>
        <v>0.13679678571428572</v>
      </c>
    </row>
    <row r="9" spans="1:26" ht="15" customHeight="1" x14ac:dyDescent="0.2">
      <c r="A9" s="39">
        <v>7</v>
      </c>
      <c r="B9" s="40" t="s">
        <v>103</v>
      </c>
      <c r="C9" s="13"/>
      <c r="D9" s="15"/>
      <c r="E9" s="13"/>
      <c r="F9" s="15"/>
      <c r="G9" s="13"/>
      <c r="H9" s="15"/>
      <c r="I9" s="13"/>
      <c r="J9" s="15"/>
      <c r="K9" s="15">
        <f>+'Material Handling'!C150</f>
        <v>43.392375000000001</v>
      </c>
      <c r="L9" s="15">
        <f>+'Material Handling'!D150</f>
        <v>190.05860250000001</v>
      </c>
      <c r="M9" s="15">
        <f>+'Material Handling'!C151</f>
        <v>12.031874999999999</v>
      </c>
      <c r="N9" s="15">
        <f>+'Material Handling'!D151</f>
        <v>52.699612499999994</v>
      </c>
      <c r="O9" s="13">
        <f>+'Material Handling'!C152</f>
        <v>2.1640062949640284</v>
      </c>
      <c r="P9" s="29">
        <f>+'Material Handling'!D152</f>
        <v>9.4783475719424448</v>
      </c>
    </row>
    <row r="10" spans="1:26" ht="15" customHeight="1" x14ac:dyDescent="0.2">
      <c r="A10" s="39">
        <v>8</v>
      </c>
      <c r="B10" s="40" t="s">
        <v>76</v>
      </c>
      <c r="C10" s="13"/>
      <c r="D10" s="15"/>
      <c r="E10" s="13"/>
      <c r="F10" s="15"/>
      <c r="G10" s="13"/>
      <c r="H10" s="15"/>
      <c r="I10" s="13"/>
      <c r="J10" s="15"/>
      <c r="K10" s="15">
        <f>+'Material Handling'!C172</f>
        <v>22.200749999999999</v>
      </c>
      <c r="L10" s="15">
        <f>+'Material Handling'!D172</f>
        <v>97.23928500000001</v>
      </c>
      <c r="M10" s="13">
        <f>+'Material Handling'!C173</f>
        <v>6.0547500000000003</v>
      </c>
      <c r="N10" s="15">
        <f>+'Material Handling'!D173</f>
        <v>26.519805000000002</v>
      </c>
      <c r="O10" s="13">
        <f>+'Material Handling'!C174</f>
        <v>1.1983359375</v>
      </c>
      <c r="P10" s="29">
        <f>+'Material Handling'!D174</f>
        <v>5.2487114062500009</v>
      </c>
    </row>
    <row r="11" spans="1:26" ht="15" customHeight="1" x14ac:dyDescent="0.2">
      <c r="A11" s="39">
        <v>9</v>
      </c>
      <c r="B11" s="40" t="s">
        <v>180</v>
      </c>
      <c r="C11" s="13"/>
      <c r="D11" s="15"/>
      <c r="E11" s="13"/>
      <c r="F11" s="15"/>
      <c r="G11" s="13"/>
      <c r="H11" s="15"/>
      <c r="I11" s="13"/>
      <c r="J11" s="15"/>
      <c r="K11" s="15">
        <f>+'Material Handling'!C194</f>
        <v>22.310624999999998</v>
      </c>
      <c r="L11" s="15">
        <f>+'Material Handling'!D194</f>
        <v>97.720537499999992</v>
      </c>
      <c r="M11" s="15">
        <f>+'Material Handling'!C195</f>
        <v>14.364374999999999</v>
      </c>
      <c r="N11" s="15">
        <f>+'Material Handling'!D195</f>
        <v>62.915962499999992</v>
      </c>
      <c r="O11" s="13">
        <f>+'Material Handling'!C196</f>
        <v>2.8429492187499998</v>
      </c>
      <c r="P11" s="100">
        <f>+'Material Handling'!D196</f>
        <v>12.452117578124998</v>
      </c>
    </row>
    <row r="12" spans="1:26" ht="15" customHeight="1" x14ac:dyDescent="0.2">
      <c r="A12" s="39">
        <v>10</v>
      </c>
      <c r="B12" s="40" t="s">
        <v>179</v>
      </c>
      <c r="C12" s="13"/>
      <c r="D12" s="15"/>
      <c r="E12" s="13"/>
      <c r="F12" s="15"/>
      <c r="G12" s="13"/>
      <c r="H12" s="15"/>
      <c r="I12" s="13"/>
      <c r="J12" s="15"/>
      <c r="K12" s="15">
        <f>+'Material Handling'!C216</f>
        <v>25.905000000000001</v>
      </c>
      <c r="L12" s="15">
        <f>+'Material Handling'!D216</f>
        <v>113.46390000000001</v>
      </c>
      <c r="M12" s="15">
        <f>+'Material Handling'!C216</f>
        <v>25.905000000000001</v>
      </c>
      <c r="N12" s="15">
        <f>+'Material Handling'!D216</f>
        <v>113.46390000000001</v>
      </c>
      <c r="O12" s="13">
        <f>+'Material Handling'!C217</f>
        <v>9.0750000000000011</v>
      </c>
      <c r="P12" s="100">
        <f>+'Material Handling'!D217</f>
        <v>39.748500000000007</v>
      </c>
      <c r="Q12" s="12"/>
      <c r="R12" s="12"/>
      <c r="S12" s="12"/>
      <c r="T12" s="12"/>
      <c r="U12" s="12"/>
      <c r="V12" s="12"/>
    </row>
    <row r="13" spans="1:26" ht="15" customHeight="1" x14ac:dyDescent="0.2">
      <c r="A13" s="39">
        <v>11</v>
      </c>
      <c r="B13" s="40" t="s">
        <v>224</v>
      </c>
      <c r="C13" s="13"/>
      <c r="D13" s="15"/>
      <c r="E13" s="13"/>
      <c r="F13" s="15"/>
      <c r="G13" s="13"/>
      <c r="H13" s="15"/>
      <c r="I13" s="13"/>
      <c r="J13" s="15"/>
      <c r="K13" s="13">
        <f>+'Material Handling'!C$28+'Material Handling'!C$48</f>
        <v>1.0921187757891093</v>
      </c>
      <c r="L13" s="13">
        <f>+'Material Handling'!D$28+'Material Handling'!D$48</f>
        <v>4.7834802379562991</v>
      </c>
      <c r="M13" s="13">
        <f>+'Material Handling'!C$29+'Material Handling'!C$49</f>
        <v>0.51654266422457862</v>
      </c>
      <c r="N13" s="13">
        <f>+'Material Handling'!D$29+'Material Handling'!D$49</f>
        <v>2.2624568693036546</v>
      </c>
      <c r="O13" s="25">
        <f>+'Material Handling'!C$30+'Material Handling'!C$50</f>
        <v>7.8219317725436208E-2</v>
      </c>
      <c r="P13" s="29">
        <f>+'Material Handling'!D$30+'Material Handling'!D$50</f>
        <v>0.34260061163741057</v>
      </c>
      <c r="Q13" s="12"/>
      <c r="R13" s="33"/>
      <c r="S13" s="33"/>
      <c r="T13" s="12"/>
      <c r="U13" s="33"/>
      <c r="V13" s="12"/>
      <c r="W13" s="12"/>
      <c r="X13" s="12"/>
      <c r="Y13" s="12"/>
      <c r="Z13" s="12"/>
    </row>
    <row r="14" spans="1:26" ht="15" customHeight="1" x14ac:dyDescent="0.2">
      <c r="A14" s="39" t="s">
        <v>231</v>
      </c>
      <c r="B14" s="40" t="s">
        <v>232</v>
      </c>
      <c r="C14" s="25">
        <f>+Heater!B19</f>
        <v>6.3492063492063489E-2</v>
      </c>
      <c r="D14" s="13">
        <f>+Heater!D19</f>
        <v>0.27809523809523806</v>
      </c>
      <c r="E14" s="25">
        <f>+Heater!B20</f>
        <v>5.3333333333333337E-2</v>
      </c>
      <c r="F14" s="13">
        <f>+Heater!D20</f>
        <v>0.23360000000000003</v>
      </c>
      <c r="G14" s="41">
        <f>+Heater!B22</f>
        <v>6.8027210884353737E-4</v>
      </c>
      <c r="H14" s="67">
        <f>+Heater!D22</f>
        <v>2.9795918367346934E-3</v>
      </c>
      <c r="I14" s="67">
        <f>+Heater!B21</f>
        <v>6.9841269841269841E-3</v>
      </c>
      <c r="J14" s="25">
        <f>+Heater!D21</f>
        <v>3.0590476190476192E-2</v>
      </c>
      <c r="K14" s="67">
        <f>+Heater!B23</f>
        <v>4.8253968253968247E-3</v>
      </c>
      <c r="L14" s="25">
        <f>+Heater!D23</f>
        <v>2.1135238095238089E-2</v>
      </c>
      <c r="M14" s="67">
        <f>+Heater!B23</f>
        <v>4.8253968253968247E-3</v>
      </c>
      <c r="N14" s="25">
        <f>+Heater!D23</f>
        <v>2.1135238095238089E-2</v>
      </c>
      <c r="O14" s="67">
        <f>+Heater!B23</f>
        <v>4.8253968253968247E-3</v>
      </c>
      <c r="P14" s="26">
        <f>+Heater!D23</f>
        <v>2.1135238095238089E-2</v>
      </c>
      <c r="R14" s="1"/>
      <c r="S14" s="1"/>
      <c r="T14" s="1"/>
      <c r="U14" s="1"/>
      <c r="V14" s="1"/>
      <c r="W14" s="1"/>
    </row>
    <row r="15" spans="1:26" ht="15" customHeight="1" thickBot="1" x14ac:dyDescent="0.25">
      <c r="A15" s="44"/>
      <c r="B15" s="45" t="s">
        <v>78</v>
      </c>
      <c r="C15" s="46">
        <f t="shared" ref="C15:P15" si="0">SUM(C4:C14)</f>
        <v>6.3492063492063489E-2</v>
      </c>
      <c r="D15" s="27">
        <f t="shared" si="0"/>
        <v>0.27809523809523806</v>
      </c>
      <c r="E15" s="46">
        <f t="shared" si="0"/>
        <v>5.3333333333333337E-2</v>
      </c>
      <c r="F15" s="27">
        <f t="shared" si="0"/>
        <v>0.23360000000000003</v>
      </c>
      <c r="G15" s="92">
        <f t="shared" si="0"/>
        <v>6.8027210884353737E-4</v>
      </c>
      <c r="H15" s="93">
        <f t="shared" si="0"/>
        <v>2.9795918367346934E-3</v>
      </c>
      <c r="I15" s="93">
        <f t="shared" si="0"/>
        <v>6.9841269841269841E-3</v>
      </c>
      <c r="J15" s="46">
        <f t="shared" si="0"/>
        <v>3.0590476190476192E-2</v>
      </c>
      <c r="K15" s="32">
        <f t="shared" si="0"/>
        <v>118.11596384687151</v>
      </c>
      <c r="L15" s="32">
        <f t="shared" si="0"/>
        <v>517.22403445150383</v>
      </c>
      <c r="M15" s="32">
        <f t="shared" si="0"/>
        <v>60.028469979397876</v>
      </c>
      <c r="N15" s="32">
        <f t="shared" si="0"/>
        <v>262.89992107020402</v>
      </c>
      <c r="O15" s="94">
        <f t="shared" si="0"/>
        <v>15.550588789764378</v>
      </c>
      <c r="P15" s="60">
        <f t="shared" si="0"/>
        <v>68.10549716400358</v>
      </c>
      <c r="R15" s="22"/>
      <c r="S15" s="22"/>
    </row>
    <row r="16" spans="1:26" ht="13.5" thickTop="1" x14ac:dyDescent="0.2">
      <c r="A16" s="3"/>
      <c r="B16" s="28"/>
      <c r="C16" s="19"/>
      <c r="D16" s="34"/>
      <c r="E16" s="19"/>
      <c r="F16" s="34"/>
      <c r="G16" s="11"/>
      <c r="H16" s="11"/>
      <c r="I16" s="11"/>
      <c r="J16" s="19"/>
      <c r="K16" s="34"/>
      <c r="L16" s="34"/>
      <c r="M16" s="34"/>
      <c r="N16" s="34"/>
      <c r="O16" s="34"/>
      <c r="P16" s="34"/>
    </row>
    <row r="17" spans="1:23" ht="13.5" thickBot="1" x14ac:dyDescent="0.25">
      <c r="A17" s="115" t="s">
        <v>79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</row>
    <row r="18" spans="1:23" ht="13.5" thickTop="1" x14ac:dyDescent="0.2">
      <c r="A18" s="110" t="s">
        <v>73</v>
      </c>
      <c r="B18" s="112" t="s">
        <v>74</v>
      </c>
      <c r="C18" s="106" t="s">
        <v>53</v>
      </c>
      <c r="D18" s="106"/>
      <c r="E18" s="106" t="s">
        <v>50</v>
      </c>
      <c r="F18" s="106"/>
      <c r="G18" s="106" t="s">
        <v>66</v>
      </c>
      <c r="H18" s="106"/>
      <c r="I18" s="106" t="s">
        <v>51</v>
      </c>
      <c r="J18" s="106"/>
      <c r="K18" s="107" t="s">
        <v>52</v>
      </c>
      <c r="L18" s="108"/>
      <c r="M18" s="106" t="s">
        <v>75</v>
      </c>
      <c r="N18" s="108"/>
      <c r="O18" s="107" t="s">
        <v>80</v>
      </c>
      <c r="P18" s="114"/>
    </row>
    <row r="19" spans="1:23" ht="13.5" thickBot="1" x14ac:dyDescent="0.25">
      <c r="A19" s="111"/>
      <c r="B19" s="113"/>
      <c r="C19" s="18" t="s">
        <v>11</v>
      </c>
      <c r="D19" s="36" t="s">
        <v>57</v>
      </c>
      <c r="E19" s="18" t="s">
        <v>11</v>
      </c>
      <c r="F19" s="14" t="s">
        <v>57</v>
      </c>
      <c r="G19" s="18" t="s">
        <v>11</v>
      </c>
      <c r="H19" s="14" t="s">
        <v>57</v>
      </c>
      <c r="I19" s="18" t="s">
        <v>11</v>
      </c>
      <c r="J19" s="14" t="s">
        <v>57</v>
      </c>
      <c r="K19" s="18" t="s">
        <v>11</v>
      </c>
      <c r="L19" s="14" t="s">
        <v>57</v>
      </c>
      <c r="M19" s="18" t="s">
        <v>11</v>
      </c>
      <c r="N19" s="14" t="s">
        <v>57</v>
      </c>
      <c r="O19" s="18" t="s">
        <v>11</v>
      </c>
      <c r="P19" s="23" t="s">
        <v>57</v>
      </c>
    </row>
    <row r="20" spans="1:23" ht="13.5" thickTop="1" x14ac:dyDescent="0.2">
      <c r="A20" s="37">
        <v>1</v>
      </c>
      <c r="B20" s="38" t="s">
        <v>77</v>
      </c>
      <c r="C20" s="24"/>
      <c r="D20" s="24"/>
      <c r="E20" s="24"/>
      <c r="F20" s="74"/>
      <c r="G20" s="24"/>
      <c r="H20" s="74"/>
      <c r="I20" s="24"/>
      <c r="J20" s="74"/>
      <c r="K20" s="24">
        <f>+'Material Handling'!H273</f>
        <v>0.68826220996291398</v>
      </c>
      <c r="L20" s="24">
        <f>+'Material Handling'!J273</f>
        <v>1.3199549232165473</v>
      </c>
      <c r="M20" s="24">
        <f>+'Material Handling'!H280</f>
        <v>0.13765244199258281</v>
      </c>
      <c r="N20" s="24">
        <f>+'Material Handling'!J280</f>
        <v>0.26399098464330956</v>
      </c>
      <c r="O20" s="81">
        <f>+'Material Handling'!H287</f>
        <v>3.3787417579997599E-2</v>
      </c>
      <c r="P20" s="102">
        <f>+'Material Handling'!J287</f>
        <v>6.4797787139721424E-2</v>
      </c>
    </row>
    <row r="21" spans="1:23" ht="15" customHeight="1" x14ac:dyDescent="0.2">
      <c r="A21" s="39">
        <v>2</v>
      </c>
      <c r="B21" s="40" t="s">
        <v>137</v>
      </c>
      <c r="C21" s="13"/>
      <c r="D21" s="15"/>
      <c r="E21" s="13"/>
      <c r="F21" s="15"/>
      <c r="G21" s="13"/>
      <c r="H21" s="15"/>
      <c r="I21" s="13"/>
      <c r="J21" s="15"/>
      <c r="K21" s="13">
        <f>+'Material Handling'!C73</f>
        <v>0.8345074642940935</v>
      </c>
      <c r="L21" s="13">
        <f>+'Material Handling'!D73</f>
        <v>1.157314116835741</v>
      </c>
      <c r="M21" s="13">
        <f>+'Material Handling'!C$74</f>
        <v>0.39469947635531449</v>
      </c>
      <c r="N21" s="13">
        <f>+'Material Handling'!D$74</f>
        <v>0.54737829850339093</v>
      </c>
      <c r="O21" s="25">
        <f>+'Material Handling'!C$75</f>
        <v>5.9768777848090489E-2</v>
      </c>
      <c r="P21" s="26">
        <f>+'Material Handling'!D$75</f>
        <v>8.2888713773370634E-2</v>
      </c>
    </row>
    <row r="22" spans="1:23" ht="15" customHeight="1" x14ac:dyDescent="0.2">
      <c r="A22" s="39">
        <v>3</v>
      </c>
      <c r="B22" s="40" t="s">
        <v>138</v>
      </c>
      <c r="C22" s="13"/>
      <c r="D22" s="15"/>
      <c r="E22" s="13"/>
      <c r="F22" s="15"/>
      <c r="G22" s="13"/>
      <c r="H22" s="15"/>
      <c r="I22" s="13"/>
      <c r="J22" s="15"/>
      <c r="K22" s="25">
        <f>+'Material Handling'!C$94</f>
        <v>2.6249999999999999E-2</v>
      </c>
      <c r="L22" s="25">
        <f>+'Material Handling'!D$94</f>
        <v>5.2499999999999991E-2</v>
      </c>
      <c r="M22" s="67">
        <f>+'Material Handling'!C$95</f>
        <v>8.6250000000000007E-3</v>
      </c>
      <c r="N22" s="25">
        <f>+'Material Handling'!D$95</f>
        <v>1.7250000000000001E-2</v>
      </c>
      <c r="O22" s="67">
        <f>+'Material Handling'!C$96</f>
        <v>2.4375E-3</v>
      </c>
      <c r="P22" s="68">
        <f>+'Material Handling'!D$96</f>
        <v>4.875E-3</v>
      </c>
    </row>
    <row r="23" spans="1:23" ht="15" customHeight="1" x14ac:dyDescent="0.2">
      <c r="A23" s="39">
        <v>4</v>
      </c>
      <c r="B23" s="40" t="s">
        <v>139</v>
      </c>
      <c r="C23" s="13"/>
      <c r="D23" s="15"/>
      <c r="E23" s="13"/>
      <c r="F23" s="15"/>
      <c r="G23" s="13"/>
      <c r="H23" s="15"/>
      <c r="I23" s="13"/>
      <c r="J23" s="15"/>
      <c r="K23" s="25">
        <f>+'Material Handling'!C115</f>
        <v>2.6249999999999999E-2</v>
      </c>
      <c r="L23" s="25">
        <f>+'Material Handling'!D115</f>
        <v>5.2499999999999991E-2</v>
      </c>
      <c r="M23" s="67">
        <f>+'Material Handling'!C116</f>
        <v>8.6250000000000007E-3</v>
      </c>
      <c r="N23" s="25">
        <f>+'Material Handling'!D116</f>
        <v>1.7250000000000001E-2</v>
      </c>
      <c r="O23" s="67">
        <f>+'Material Handling'!C117</f>
        <v>2.4375E-3</v>
      </c>
      <c r="P23" s="68">
        <f>+'Material Handling'!D117</f>
        <v>4.875E-3</v>
      </c>
    </row>
    <row r="24" spans="1:23" ht="15" customHeight="1" x14ac:dyDescent="0.2">
      <c r="A24" s="39" t="s">
        <v>111</v>
      </c>
      <c r="B24" s="40" t="s">
        <v>81</v>
      </c>
      <c r="C24" s="13"/>
      <c r="D24" s="15"/>
      <c r="E24" s="13"/>
      <c r="F24" s="15"/>
      <c r="G24" s="13"/>
      <c r="H24" s="15"/>
      <c r="I24" s="13"/>
      <c r="J24" s="15"/>
      <c r="K24" s="25">
        <f>+'Material Handling'!C136</f>
        <v>2.6249999999999999E-2</v>
      </c>
      <c r="L24" s="25">
        <f>+'Material Handling'!D136</f>
        <v>5.2499999999999991E-2</v>
      </c>
      <c r="M24" s="67">
        <f>+'Material Handling'!C137</f>
        <v>8.6250000000000007E-3</v>
      </c>
      <c r="N24" s="25">
        <f>+'Material Handling'!D137</f>
        <v>1.7250000000000001E-2</v>
      </c>
      <c r="O24" s="67">
        <f>+'Material Handling'!C138</f>
        <v>2.4375E-3</v>
      </c>
      <c r="P24" s="68">
        <f>+'Material Handling'!D138</f>
        <v>4.875E-3</v>
      </c>
    </row>
    <row r="25" spans="1:23" ht="15" customHeight="1" x14ac:dyDescent="0.2">
      <c r="A25" s="39" t="s">
        <v>149</v>
      </c>
      <c r="B25" s="40" t="s">
        <v>150</v>
      </c>
      <c r="C25" s="13"/>
      <c r="D25" s="15"/>
      <c r="E25" s="13"/>
      <c r="F25" s="15"/>
      <c r="G25" s="13"/>
      <c r="H25" s="15"/>
      <c r="I25" s="13"/>
      <c r="J25" s="15"/>
      <c r="K25" s="25">
        <f>+'Material Handling'!C158+'Material Handling'!C180</f>
        <v>6.5593125000000058E-2</v>
      </c>
      <c r="L25" s="13">
        <f>+'Material Handling'!D158+'Material Handling'!D180</f>
        <v>0.13118625000000012</v>
      </c>
      <c r="M25" s="25">
        <f>+'Material Handling'!C159+'Material Handling'!C181</f>
        <v>1.8086625000000016E-2</v>
      </c>
      <c r="N25" s="25">
        <f>+'Material Handling'!D159+'Material Handling'!D181</f>
        <v>3.6173250000000032E-2</v>
      </c>
      <c r="O25" s="67">
        <f>+'Material Handling'!C160+'Material Handling'!C182</f>
        <v>3.2020312500000026E-3</v>
      </c>
      <c r="P25" s="68">
        <f>+'Material Handling'!D160+'Material Handling'!D182</f>
        <v>6.0062343750000051E-3</v>
      </c>
    </row>
    <row r="26" spans="1:23" ht="15" customHeight="1" x14ac:dyDescent="0.2">
      <c r="A26" s="39">
        <v>9</v>
      </c>
      <c r="B26" s="40" t="s">
        <v>182</v>
      </c>
      <c r="C26" s="13"/>
      <c r="D26" s="15"/>
      <c r="E26" s="13"/>
      <c r="F26" s="15"/>
      <c r="G26" s="13"/>
      <c r="H26" s="15"/>
      <c r="I26" s="13"/>
      <c r="J26" s="15"/>
      <c r="K26" s="25">
        <f>+'Material Handling'!C202</f>
        <v>2.2310625000000018E-2</v>
      </c>
      <c r="L26" s="25">
        <f>+'Material Handling'!D202</f>
        <v>4.4621250000000036E-2</v>
      </c>
      <c r="M26" s="25">
        <f>+'Material Handling'!C203</f>
        <v>1.4364375000000011E-2</v>
      </c>
      <c r="N26" s="25">
        <f>+'Material Handling'!D203</f>
        <v>2.8728750000000025E-2</v>
      </c>
      <c r="O26" s="67">
        <f>+'Material Handling'!C204</f>
        <v>3.3148557692307713E-3</v>
      </c>
      <c r="P26" s="68">
        <f>+'Material Handling'!D204</f>
        <v>5.685898437500005E-3</v>
      </c>
    </row>
    <row r="27" spans="1:23" ht="15" customHeight="1" x14ac:dyDescent="0.2">
      <c r="A27" s="39">
        <v>10</v>
      </c>
      <c r="B27" s="40" t="s">
        <v>181</v>
      </c>
      <c r="C27" s="13"/>
      <c r="D27" s="15"/>
      <c r="E27" s="13"/>
      <c r="F27" s="15"/>
      <c r="G27" s="13"/>
      <c r="H27" s="15"/>
      <c r="I27" s="13"/>
      <c r="J27" s="15"/>
      <c r="K27" s="25">
        <f>+'Material Handling'!C224</f>
        <v>2.5905000000000025E-2</v>
      </c>
      <c r="L27" s="25">
        <f>+'Material Handling'!D224</f>
        <v>5.1810000000000044E-2</v>
      </c>
      <c r="M27" s="67">
        <f>+'Material Handling'!C225</f>
        <v>9.0750000000000101E-3</v>
      </c>
      <c r="N27" s="25">
        <f>+'Material Handling'!D225</f>
        <v>1.8150000000000017E-2</v>
      </c>
      <c r="O27" s="67">
        <f>+'Material Handling'!C226</f>
        <v>2.0942307692307714E-3</v>
      </c>
      <c r="P27" s="68">
        <f>+'Material Handling'!D226</f>
        <v>3.5921875000000034E-3</v>
      </c>
    </row>
    <row r="28" spans="1:23" ht="15" customHeight="1" x14ac:dyDescent="0.2">
      <c r="A28" s="39">
        <v>11</v>
      </c>
      <c r="B28" s="40" t="s">
        <v>224</v>
      </c>
      <c r="C28" s="13"/>
      <c r="D28" s="13"/>
      <c r="E28" s="13"/>
      <c r="F28" s="15"/>
      <c r="G28" s="13"/>
      <c r="H28" s="15"/>
      <c r="I28" s="13"/>
      <c r="J28" s="15"/>
      <c r="K28" s="13">
        <f>+'Material Handling'!C$33+'Material Handling'!C$53</f>
        <v>1.0921187757891093</v>
      </c>
      <c r="L28" s="13">
        <f>+'Material Handling'!D$33+'Material Handling'!D$53</f>
        <v>1.5145753999351605</v>
      </c>
      <c r="M28" s="13">
        <f>+'Material Handling'!C$34+'Material Handling'!C$54</f>
        <v>0.51654266422457862</v>
      </c>
      <c r="N28" s="13">
        <f>+'Material Handling'!D$34+'Material Handling'!D$54</f>
        <v>0.71635322969906234</v>
      </c>
      <c r="O28" s="25">
        <f>+'Material Handling'!C$35+'Material Handling'!C$55</f>
        <v>7.8219317725436208E-2</v>
      </c>
      <c r="P28" s="29">
        <f>+'Material Handling'!D$35+'Material Handling'!D$55</f>
        <v>0.10847634621157232</v>
      </c>
      <c r="Q28" s="30"/>
      <c r="R28" s="30"/>
      <c r="S28" s="30"/>
      <c r="T28" s="30"/>
      <c r="U28" s="30"/>
      <c r="V28" s="30"/>
      <c r="W28" s="30"/>
    </row>
    <row r="29" spans="1:23" ht="15" customHeight="1" x14ac:dyDescent="0.2">
      <c r="A29" s="39" t="s">
        <v>231</v>
      </c>
      <c r="B29" s="40" t="s">
        <v>232</v>
      </c>
      <c r="C29" s="25">
        <f>+Heater!B27</f>
        <v>6.3492063492063489E-2</v>
      </c>
      <c r="D29" s="13">
        <f>+Heater!D27</f>
        <v>0.27809523809523806</v>
      </c>
      <c r="E29" s="25">
        <f>+Heater!B28</f>
        <v>5.3333333333333337E-2</v>
      </c>
      <c r="F29" s="13">
        <f>+Heater!D28</f>
        <v>0.23360000000000003</v>
      </c>
      <c r="G29" s="41">
        <f>+Heater!B30</f>
        <v>6.8027210884353737E-4</v>
      </c>
      <c r="H29" s="67">
        <f>+Heater!D30</f>
        <v>2.9795918367346934E-3</v>
      </c>
      <c r="I29" s="67">
        <f>+Heater!B29</f>
        <v>6.9841269841269841E-3</v>
      </c>
      <c r="J29" s="25">
        <f>+Heater!D29</f>
        <v>3.0590476190476192E-2</v>
      </c>
      <c r="K29" s="67">
        <f>+Heater!B31</f>
        <v>4.8253968253968247E-3</v>
      </c>
      <c r="L29" s="25">
        <f>+Heater!D31</f>
        <v>2.1135238095238089E-2</v>
      </c>
      <c r="M29" s="67">
        <f>+Heater!B31</f>
        <v>4.8253968253968247E-3</v>
      </c>
      <c r="N29" s="25">
        <f>+Heater!D31</f>
        <v>2.1135238095238089E-2</v>
      </c>
      <c r="O29" s="67">
        <f>+Heater!B31</f>
        <v>4.8253968253968247E-3</v>
      </c>
      <c r="P29" s="26">
        <f>+Heater!D31</f>
        <v>2.1135238095238089E-2</v>
      </c>
    </row>
    <row r="30" spans="1:23" ht="15" customHeight="1" thickBot="1" x14ac:dyDescent="0.25">
      <c r="A30" s="44"/>
      <c r="B30" s="45" t="s">
        <v>78</v>
      </c>
      <c r="C30" s="46">
        <f t="shared" ref="C30:P30" si="1">SUM(C20:C29)</f>
        <v>6.3492063492063489E-2</v>
      </c>
      <c r="D30" s="27">
        <f t="shared" si="1"/>
        <v>0.27809523809523806</v>
      </c>
      <c r="E30" s="46">
        <f t="shared" si="1"/>
        <v>5.3333333333333337E-2</v>
      </c>
      <c r="F30" s="27">
        <f t="shared" si="1"/>
        <v>0.23360000000000003</v>
      </c>
      <c r="G30" s="92">
        <f t="shared" si="1"/>
        <v>6.8027210884353737E-4</v>
      </c>
      <c r="H30" s="93">
        <f t="shared" si="1"/>
        <v>2.9795918367346934E-3</v>
      </c>
      <c r="I30" s="93">
        <f t="shared" si="1"/>
        <v>6.9841269841269841E-3</v>
      </c>
      <c r="J30" s="46">
        <f t="shared" si="1"/>
        <v>3.0590476190476192E-2</v>
      </c>
      <c r="K30" s="27">
        <f t="shared" si="1"/>
        <v>2.8122725968715141</v>
      </c>
      <c r="L30" s="27">
        <f t="shared" si="1"/>
        <v>4.3980971780826881</v>
      </c>
      <c r="M30" s="27">
        <f t="shared" si="1"/>
        <v>1.1211209793978729</v>
      </c>
      <c r="N30" s="27">
        <f t="shared" si="1"/>
        <v>1.683659750941001</v>
      </c>
      <c r="O30" s="27">
        <f t="shared" si="1"/>
        <v>0.19252452776738263</v>
      </c>
      <c r="P30" s="47">
        <f t="shared" si="1"/>
        <v>0.30720740553240244</v>
      </c>
      <c r="Q30" s="30"/>
      <c r="R30" s="30"/>
      <c r="S30" s="30"/>
      <c r="T30" s="30"/>
      <c r="U30" s="30"/>
      <c r="V30" s="30"/>
    </row>
    <row r="31" spans="1:23" ht="13.5" thickTop="1" x14ac:dyDescent="0.2">
      <c r="C31" s="12"/>
      <c r="E31" s="12"/>
      <c r="H31" s="30"/>
      <c r="J31" s="30"/>
      <c r="L31" s="11"/>
      <c r="N31" s="11"/>
      <c r="P31" s="11"/>
    </row>
    <row r="32" spans="1:23" x14ac:dyDescent="0.2">
      <c r="L32" s="11"/>
      <c r="N32" s="11"/>
      <c r="P32" s="11"/>
    </row>
    <row r="33" spans="3:16" x14ac:dyDescent="0.2">
      <c r="L33" s="11"/>
      <c r="N33" s="11"/>
      <c r="O33" s="42"/>
      <c r="P33" s="42"/>
    </row>
    <row r="34" spans="3:16" x14ac:dyDescent="0.2">
      <c r="K34" s="42"/>
      <c r="L34" s="42"/>
      <c r="M34" s="42"/>
      <c r="N34" s="42"/>
      <c r="O34" s="43"/>
      <c r="P34" s="43"/>
    </row>
    <row r="35" spans="3:16" x14ac:dyDescent="0.2">
      <c r="C35" s="19"/>
      <c r="D35" s="19"/>
      <c r="E35" s="19"/>
      <c r="F35" s="19"/>
      <c r="G35" s="11"/>
      <c r="H35" s="11"/>
      <c r="I35" s="11"/>
      <c r="J35" s="11"/>
      <c r="L35" s="11"/>
      <c r="N35" s="11"/>
      <c r="O35" s="42"/>
      <c r="P35" s="42"/>
    </row>
    <row r="36" spans="3:16" x14ac:dyDescent="0.2">
      <c r="K36" s="42"/>
      <c r="L36" s="42"/>
      <c r="M36" s="42"/>
      <c r="N36" s="42"/>
      <c r="O36" s="43"/>
      <c r="P36" s="43"/>
    </row>
    <row r="39" spans="3:16" x14ac:dyDescent="0.2">
      <c r="J39" s="31"/>
      <c r="K39" s="31"/>
      <c r="L39" s="31"/>
      <c r="M39" s="31"/>
      <c r="O39" s="31"/>
    </row>
    <row r="40" spans="3:16" x14ac:dyDescent="0.2">
      <c r="J40" s="31"/>
      <c r="K40" s="31"/>
      <c r="L40" s="31"/>
      <c r="M40" s="31"/>
      <c r="O40" s="31"/>
    </row>
    <row r="41" spans="3:16" x14ac:dyDescent="0.2">
      <c r="J41" s="31"/>
      <c r="K41" s="31"/>
      <c r="L41" s="31"/>
      <c r="M41" s="31"/>
      <c r="O41" s="31"/>
    </row>
  </sheetData>
  <mergeCells count="20">
    <mergeCell ref="A18:A19"/>
    <mergeCell ref="B18:B19"/>
    <mergeCell ref="C18:D18"/>
    <mergeCell ref="E18:F18"/>
    <mergeCell ref="A17:P17"/>
    <mergeCell ref="G18:H18"/>
    <mergeCell ref="I18:J18"/>
    <mergeCell ref="K18:L18"/>
    <mergeCell ref="M18:N18"/>
    <mergeCell ref="O18:P18"/>
    <mergeCell ref="G2:H2"/>
    <mergeCell ref="I2:J2"/>
    <mergeCell ref="K2:L2"/>
    <mergeCell ref="M2:N2"/>
    <mergeCell ref="A1:P1"/>
    <mergeCell ref="A2:A3"/>
    <mergeCell ref="B2:B3"/>
    <mergeCell ref="C2:D2"/>
    <mergeCell ref="E2:F2"/>
    <mergeCell ref="O2:P2"/>
  </mergeCells>
  <printOptions horizontalCentered="1"/>
  <pageMargins left="0.7" right="0.7" top="0.81354166666666705" bottom="0.5" header="0.3" footer="0.3"/>
  <pageSetup scale="66" orientation="landscape" r:id="rId1"/>
  <headerFooter>
    <oddHeader>&amp;C&amp;"Times New Roman,Bold"&amp;12Roper Construction, Inc Alto Concrete Batch Plant Emissions Inventory
125 CuFt/Hr; 500,000 CuFt per Year
Emission Totals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3"/>
  <sheetViews>
    <sheetView topLeftCell="A79" zoomScale="85" zoomScaleNormal="85" workbookViewId="0">
      <selection activeCell="G109" sqref="G109"/>
    </sheetView>
  </sheetViews>
  <sheetFormatPr defaultRowHeight="12.75" x14ac:dyDescent="0.2"/>
  <cols>
    <col min="2" max="2" width="11.83203125" customWidth="1"/>
    <col min="3" max="3" width="9.33203125" style="50"/>
    <col min="11" max="14" width="11" customWidth="1"/>
    <col min="18" max="18" width="16.83203125" style="77" customWidth="1"/>
    <col min="19" max="19" width="19.5" style="77" customWidth="1"/>
    <col min="20" max="20" width="21.6640625" style="77" customWidth="1"/>
  </cols>
  <sheetData>
    <row r="1" spans="1:14" x14ac:dyDescent="0.2">
      <c r="B1">
        <v>1</v>
      </c>
    </row>
    <row r="2" spans="1:14" x14ac:dyDescent="0.2">
      <c r="C2" s="65" t="s">
        <v>125</v>
      </c>
      <c r="D2" s="10" t="s">
        <v>126</v>
      </c>
      <c r="E2" s="10" t="s">
        <v>127</v>
      </c>
      <c r="F2" s="10" t="s">
        <v>128</v>
      </c>
      <c r="G2" s="10" t="s">
        <v>129</v>
      </c>
      <c r="H2" s="10" t="s">
        <v>130</v>
      </c>
      <c r="I2" s="10" t="s">
        <v>131</v>
      </c>
      <c r="J2" s="10" t="s">
        <v>132</v>
      </c>
      <c r="K2" s="10" t="s">
        <v>133</v>
      </c>
      <c r="L2" s="10" t="s">
        <v>134</v>
      </c>
      <c r="M2" s="10" t="s">
        <v>135</v>
      </c>
      <c r="N2" s="10" t="s">
        <v>136</v>
      </c>
    </row>
    <row r="3" spans="1:14" x14ac:dyDescent="0.2">
      <c r="A3" s="50">
        <v>1</v>
      </c>
      <c r="B3" s="52">
        <v>0</v>
      </c>
      <c r="C3" s="83">
        <v>0</v>
      </c>
      <c r="D3" s="83">
        <v>0</v>
      </c>
      <c r="E3" s="83">
        <v>0</v>
      </c>
      <c r="F3" s="86">
        <v>0</v>
      </c>
      <c r="G3" s="83">
        <v>0</v>
      </c>
      <c r="H3" s="83">
        <v>0</v>
      </c>
      <c r="I3" s="83">
        <v>0</v>
      </c>
      <c r="J3" s="83">
        <v>0</v>
      </c>
      <c r="K3" s="83">
        <v>0</v>
      </c>
      <c r="L3" s="86">
        <v>0</v>
      </c>
      <c r="M3" s="83">
        <v>0</v>
      </c>
      <c r="N3" s="83">
        <v>0</v>
      </c>
    </row>
    <row r="4" spans="1:14" x14ac:dyDescent="0.2">
      <c r="A4" s="50">
        <v>2</v>
      </c>
      <c r="B4" s="52">
        <v>4.1666666666666664E-2</v>
      </c>
      <c r="C4" s="83">
        <v>0</v>
      </c>
      <c r="D4" s="83">
        <v>0</v>
      </c>
      <c r="E4" s="83">
        <v>0</v>
      </c>
      <c r="F4" s="86">
        <v>0</v>
      </c>
      <c r="G4" s="83">
        <v>0</v>
      </c>
      <c r="H4" s="83">
        <v>0</v>
      </c>
      <c r="I4" s="83">
        <v>0</v>
      </c>
      <c r="J4" s="83">
        <v>0</v>
      </c>
      <c r="K4" s="83">
        <v>0</v>
      </c>
      <c r="L4" s="86">
        <v>0</v>
      </c>
      <c r="M4" s="83">
        <v>0</v>
      </c>
      <c r="N4" s="83">
        <v>0</v>
      </c>
    </row>
    <row r="5" spans="1:14" x14ac:dyDescent="0.2">
      <c r="A5" s="50">
        <v>3</v>
      </c>
      <c r="B5" s="52">
        <v>8.3333333333333301E-2</v>
      </c>
      <c r="C5" s="83">
        <v>0</v>
      </c>
      <c r="D5" s="83">
        <v>0</v>
      </c>
      <c r="E5" s="83">
        <v>0</v>
      </c>
      <c r="F5" s="86">
        <v>0</v>
      </c>
      <c r="G5" s="83">
        <v>0</v>
      </c>
      <c r="H5" s="83">
        <v>0</v>
      </c>
      <c r="I5" s="83">
        <v>0</v>
      </c>
      <c r="J5" s="83">
        <v>0</v>
      </c>
      <c r="K5" s="83">
        <v>0</v>
      </c>
      <c r="L5" s="86">
        <v>0</v>
      </c>
      <c r="M5" s="83">
        <v>0</v>
      </c>
      <c r="N5" s="83">
        <v>0</v>
      </c>
    </row>
    <row r="6" spans="1:14" x14ac:dyDescent="0.2">
      <c r="A6" s="50">
        <v>4</v>
      </c>
      <c r="B6" s="52">
        <v>0.125</v>
      </c>
      <c r="C6" s="83">
        <v>0</v>
      </c>
      <c r="D6" s="83">
        <v>0</v>
      </c>
      <c r="E6" s="83">
        <v>0</v>
      </c>
      <c r="F6" s="86">
        <v>0</v>
      </c>
      <c r="G6" s="83">
        <v>1</v>
      </c>
      <c r="H6" s="83">
        <v>1</v>
      </c>
      <c r="I6" s="83">
        <v>1</v>
      </c>
      <c r="J6" s="83">
        <v>1</v>
      </c>
      <c r="K6" s="83">
        <v>0</v>
      </c>
      <c r="L6" s="86">
        <v>0</v>
      </c>
      <c r="M6" s="83">
        <v>0</v>
      </c>
      <c r="N6" s="83">
        <v>0</v>
      </c>
    </row>
    <row r="7" spans="1:14" x14ac:dyDescent="0.2">
      <c r="A7" s="50">
        <v>5</v>
      </c>
      <c r="B7" s="52">
        <v>0.16666666666666699</v>
      </c>
      <c r="C7" s="83">
        <v>0</v>
      </c>
      <c r="D7" s="83">
        <v>0</v>
      </c>
      <c r="E7" s="83">
        <v>0</v>
      </c>
      <c r="F7" s="86">
        <v>1</v>
      </c>
      <c r="G7" s="83">
        <v>1</v>
      </c>
      <c r="H7" s="83">
        <v>1</v>
      </c>
      <c r="I7" s="83">
        <v>1</v>
      </c>
      <c r="J7" s="83">
        <v>1</v>
      </c>
      <c r="K7" s="83">
        <v>1</v>
      </c>
      <c r="L7" s="86">
        <v>0</v>
      </c>
      <c r="M7" s="83">
        <v>0</v>
      </c>
      <c r="N7" s="83">
        <v>0</v>
      </c>
    </row>
    <row r="8" spans="1:14" x14ac:dyDescent="0.2">
      <c r="A8" s="50">
        <v>6</v>
      </c>
      <c r="B8" s="52">
        <v>0.20833333333333301</v>
      </c>
      <c r="C8" s="83">
        <v>0</v>
      </c>
      <c r="D8" s="83">
        <v>0</v>
      </c>
      <c r="E8" s="83">
        <v>1</v>
      </c>
      <c r="F8" s="86">
        <v>1</v>
      </c>
      <c r="G8" s="83">
        <v>1</v>
      </c>
      <c r="H8" s="83">
        <v>1</v>
      </c>
      <c r="I8" s="83">
        <v>1</v>
      </c>
      <c r="J8" s="83">
        <v>1</v>
      </c>
      <c r="K8" s="83">
        <v>1</v>
      </c>
      <c r="L8" s="86">
        <v>1</v>
      </c>
      <c r="M8" s="83">
        <v>0</v>
      </c>
      <c r="N8" s="83">
        <v>0</v>
      </c>
    </row>
    <row r="9" spans="1:14" x14ac:dyDescent="0.2">
      <c r="A9" s="50">
        <v>7</v>
      </c>
      <c r="B9" s="52">
        <v>0.25</v>
      </c>
      <c r="C9" s="83">
        <v>0</v>
      </c>
      <c r="D9" s="83">
        <v>0</v>
      </c>
      <c r="E9" s="83">
        <v>1</v>
      </c>
      <c r="F9" s="86">
        <v>1</v>
      </c>
      <c r="G9" s="83">
        <v>1</v>
      </c>
      <c r="H9" s="83">
        <v>1</v>
      </c>
      <c r="I9" s="83">
        <v>1</v>
      </c>
      <c r="J9" s="83">
        <v>1</v>
      </c>
      <c r="K9" s="83">
        <v>1</v>
      </c>
      <c r="L9" s="86">
        <v>1</v>
      </c>
      <c r="M9" s="83">
        <v>0</v>
      </c>
      <c r="N9" s="83">
        <v>0</v>
      </c>
    </row>
    <row r="10" spans="1:14" x14ac:dyDescent="0.2">
      <c r="A10" s="50">
        <v>8</v>
      </c>
      <c r="B10" s="52">
        <v>0.29166666666666702</v>
      </c>
      <c r="C10" s="83">
        <v>1</v>
      </c>
      <c r="D10" s="83">
        <v>1</v>
      </c>
      <c r="E10" s="83">
        <v>1</v>
      </c>
      <c r="F10" s="86">
        <v>1</v>
      </c>
      <c r="G10" s="83">
        <v>1</v>
      </c>
      <c r="H10" s="83">
        <v>1</v>
      </c>
      <c r="I10" s="83">
        <v>1</v>
      </c>
      <c r="J10" s="83">
        <v>1</v>
      </c>
      <c r="K10" s="83">
        <v>1</v>
      </c>
      <c r="L10" s="86">
        <v>1</v>
      </c>
      <c r="M10" s="83">
        <v>1</v>
      </c>
      <c r="N10" s="83">
        <v>1</v>
      </c>
    </row>
    <row r="11" spans="1:14" x14ac:dyDescent="0.2">
      <c r="A11" s="50">
        <v>9</v>
      </c>
      <c r="B11" s="52">
        <v>0.33333333333333298</v>
      </c>
      <c r="C11" s="83">
        <v>1</v>
      </c>
      <c r="D11" s="83">
        <v>1</v>
      </c>
      <c r="E11" s="83">
        <v>1</v>
      </c>
      <c r="F11" s="86">
        <v>1</v>
      </c>
      <c r="G11" s="83">
        <v>1</v>
      </c>
      <c r="H11" s="83">
        <v>1</v>
      </c>
      <c r="I11" s="83">
        <v>1</v>
      </c>
      <c r="J11" s="83">
        <v>1</v>
      </c>
      <c r="K11" s="83">
        <v>1</v>
      </c>
      <c r="L11" s="86">
        <v>1</v>
      </c>
      <c r="M11" s="83">
        <v>1</v>
      </c>
      <c r="N11" s="83">
        <v>1</v>
      </c>
    </row>
    <row r="12" spans="1:14" x14ac:dyDescent="0.2">
      <c r="A12" s="50">
        <v>10</v>
      </c>
      <c r="B12" s="52">
        <v>0.375</v>
      </c>
      <c r="C12" s="76">
        <v>1</v>
      </c>
      <c r="D12" s="76">
        <v>1</v>
      </c>
      <c r="E12" s="82">
        <v>1</v>
      </c>
      <c r="F12" s="86">
        <v>1</v>
      </c>
      <c r="G12" s="82">
        <v>1</v>
      </c>
      <c r="H12" s="76">
        <v>1</v>
      </c>
      <c r="I12" s="76">
        <v>1</v>
      </c>
      <c r="J12" s="76">
        <v>1</v>
      </c>
      <c r="K12" s="82">
        <v>1</v>
      </c>
      <c r="L12" s="86">
        <v>1</v>
      </c>
      <c r="M12" s="82">
        <v>1</v>
      </c>
      <c r="N12" s="76">
        <v>1</v>
      </c>
    </row>
    <row r="13" spans="1:14" x14ac:dyDescent="0.2">
      <c r="A13" s="50">
        <v>11</v>
      </c>
      <c r="B13" s="52">
        <v>0.41666666666666702</v>
      </c>
      <c r="C13" s="76">
        <v>1</v>
      </c>
      <c r="D13" s="76">
        <v>1</v>
      </c>
      <c r="E13" s="82">
        <v>1</v>
      </c>
      <c r="F13" s="86">
        <v>1</v>
      </c>
      <c r="G13" s="82">
        <v>1</v>
      </c>
      <c r="H13" s="76">
        <v>1</v>
      </c>
      <c r="I13" s="76">
        <v>1</v>
      </c>
      <c r="J13" s="76">
        <v>1</v>
      </c>
      <c r="K13" s="82">
        <v>1</v>
      </c>
      <c r="L13" s="86">
        <v>1</v>
      </c>
      <c r="M13" s="82">
        <v>1</v>
      </c>
      <c r="N13" s="76">
        <v>1</v>
      </c>
    </row>
    <row r="14" spans="1:14" x14ac:dyDescent="0.2">
      <c r="A14" s="50">
        <v>12</v>
      </c>
      <c r="B14" s="52">
        <v>0.45833333333333298</v>
      </c>
      <c r="C14" s="76">
        <v>1</v>
      </c>
      <c r="D14" s="76">
        <v>1</v>
      </c>
      <c r="E14" s="82">
        <v>1</v>
      </c>
      <c r="F14" s="86">
        <v>1</v>
      </c>
      <c r="G14" s="82">
        <v>1</v>
      </c>
      <c r="H14" s="76">
        <v>1</v>
      </c>
      <c r="I14" s="76">
        <v>1</v>
      </c>
      <c r="J14" s="76">
        <v>1</v>
      </c>
      <c r="K14" s="82">
        <v>1</v>
      </c>
      <c r="L14" s="86">
        <v>1</v>
      </c>
      <c r="M14" s="82">
        <v>1</v>
      </c>
      <c r="N14" s="76">
        <v>1</v>
      </c>
    </row>
    <row r="15" spans="1:14" x14ac:dyDescent="0.2">
      <c r="A15" s="50">
        <v>13</v>
      </c>
      <c r="B15" s="52">
        <v>0.5</v>
      </c>
      <c r="C15" s="76">
        <v>1</v>
      </c>
      <c r="D15" s="76">
        <v>1</v>
      </c>
      <c r="E15" s="82">
        <v>1</v>
      </c>
      <c r="F15" s="86">
        <v>1</v>
      </c>
      <c r="G15" s="82">
        <v>1</v>
      </c>
      <c r="H15" s="76">
        <v>1</v>
      </c>
      <c r="I15" s="76">
        <v>1</v>
      </c>
      <c r="J15" s="76">
        <v>1</v>
      </c>
      <c r="K15" s="82">
        <v>1</v>
      </c>
      <c r="L15" s="86">
        <v>1</v>
      </c>
      <c r="M15" s="82">
        <v>1</v>
      </c>
      <c r="N15" s="76">
        <v>1</v>
      </c>
    </row>
    <row r="16" spans="1:14" x14ac:dyDescent="0.2">
      <c r="A16" s="50">
        <v>14</v>
      </c>
      <c r="B16" s="52">
        <v>0.54166666666666696</v>
      </c>
      <c r="C16" s="76">
        <v>1</v>
      </c>
      <c r="D16" s="76">
        <v>1</v>
      </c>
      <c r="E16" s="82">
        <v>1</v>
      </c>
      <c r="F16" s="86">
        <v>1</v>
      </c>
      <c r="G16" s="82">
        <v>1</v>
      </c>
      <c r="H16" s="76">
        <v>1</v>
      </c>
      <c r="I16" s="76">
        <v>1</v>
      </c>
      <c r="J16" s="76">
        <v>1</v>
      </c>
      <c r="K16" s="82">
        <v>1</v>
      </c>
      <c r="L16" s="86">
        <v>1</v>
      </c>
      <c r="M16" s="82">
        <v>1</v>
      </c>
      <c r="N16" s="76">
        <v>1</v>
      </c>
    </row>
    <row r="17" spans="1:16" x14ac:dyDescent="0.2">
      <c r="A17" s="50">
        <v>15</v>
      </c>
      <c r="B17" s="52">
        <v>0.58333333333333304</v>
      </c>
      <c r="C17" s="76">
        <v>1</v>
      </c>
      <c r="D17" s="76">
        <v>1</v>
      </c>
      <c r="E17" s="82">
        <v>1</v>
      </c>
      <c r="F17" s="86">
        <v>1</v>
      </c>
      <c r="G17" s="82">
        <v>1</v>
      </c>
      <c r="H17" s="76">
        <v>1</v>
      </c>
      <c r="I17" s="76">
        <v>1</v>
      </c>
      <c r="J17" s="76">
        <v>1</v>
      </c>
      <c r="K17" s="82">
        <v>1</v>
      </c>
      <c r="L17" s="86">
        <v>1</v>
      </c>
      <c r="M17" s="82">
        <v>1</v>
      </c>
      <c r="N17" s="76">
        <v>1</v>
      </c>
    </row>
    <row r="18" spans="1:16" x14ac:dyDescent="0.2">
      <c r="A18" s="50">
        <v>16</v>
      </c>
      <c r="B18" s="52">
        <v>0.625</v>
      </c>
      <c r="C18" s="76">
        <v>1</v>
      </c>
      <c r="D18" s="76">
        <v>1</v>
      </c>
      <c r="E18" s="82">
        <v>1</v>
      </c>
      <c r="F18" s="86">
        <v>1</v>
      </c>
      <c r="G18" s="82">
        <v>1</v>
      </c>
      <c r="H18" s="76">
        <v>1</v>
      </c>
      <c r="I18" s="76">
        <v>1</v>
      </c>
      <c r="J18" s="76">
        <v>1</v>
      </c>
      <c r="K18" s="82">
        <v>1</v>
      </c>
      <c r="L18" s="86">
        <v>1</v>
      </c>
      <c r="M18" s="82">
        <v>1</v>
      </c>
      <c r="N18" s="76">
        <v>1</v>
      </c>
    </row>
    <row r="19" spans="1:16" x14ac:dyDescent="0.2">
      <c r="A19" s="50">
        <v>17</v>
      </c>
      <c r="B19" s="52">
        <v>0.66666666666666696</v>
      </c>
      <c r="C19" s="76">
        <v>0</v>
      </c>
      <c r="D19" s="76">
        <v>0</v>
      </c>
      <c r="E19" s="82">
        <v>1</v>
      </c>
      <c r="F19" s="86">
        <v>1</v>
      </c>
      <c r="G19" s="82">
        <v>1</v>
      </c>
      <c r="H19" s="76">
        <v>1</v>
      </c>
      <c r="I19" s="76">
        <v>1</v>
      </c>
      <c r="J19" s="76">
        <v>1</v>
      </c>
      <c r="K19" s="82">
        <v>1</v>
      </c>
      <c r="L19" s="86">
        <v>1</v>
      </c>
      <c r="M19" s="82">
        <v>0</v>
      </c>
      <c r="N19" s="76">
        <v>0</v>
      </c>
    </row>
    <row r="20" spans="1:16" x14ac:dyDescent="0.2">
      <c r="A20" s="50">
        <v>18</v>
      </c>
      <c r="B20" s="52">
        <v>0.70833333333333304</v>
      </c>
      <c r="C20" s="76">
        <v>0</v>
      </c>
      <c r="D20" s="76">
        <v>0</v>
      </c>
      <c r="E20" s="82">
        <v>0</v>
      </c>
      <c r="F20" s="86">
        <v>1</v>
      </c>
      <c r="G20" s="82">
        <v>1</v>
      </c>
      <c r="H20" s="76">
        <v>1</v>
      </c>
      <c r="I20" s="76">
        <v>1</v>
      </c>
      <c r="J20" s="76">
        <v>1</v>
      </c>
      <c r="K20" s="82">
        <v>1</v>
      </c>
      <c r="L20" s="86">
        <v>0</v>
      </c>
      <c r="M20" s="82">
        <v>0</v>
      </c>
      <c r="N20" s="76">
        <v>0</v>
      </c>
    </row>
    <row r="21" spans="1:16" x14ac:dyDescent="0.2">
      <c r="A21" s="50">
        <v>19</v>
      </c>
      <c r="B21" s="52">
        <v>0.75</v>
      </c>
      <c r="C21" s="76">
        <v>0</v>
      </c>
      <c r="D21" s="76">
        <v>0</v>
      </c>
      <c r="E21" s="82">
        <v>0</v>
      </c>
      <c r="F21" s="86">
        <v>0</v>
      </c>
      <c r="G21" s="82">
        <v>0</v>
      </c>
      <c r="H21" s="76">
        <v>0</v>
      </c>
      <c r="I21" s="76">
        <v>0</v>
      </c>
      <c r="J21" s="76">
        <v>0</v>
      </c>
      <c r="K21" s="82">
        <v>0</v>
      </c>
      <c r="L21" s="86">
        <v>0</v>
      </c>
      <c r="M21" s="82">
        <v>0</v>
      </c>
      <c r="N21" s="76">
        <v>0</v>
      </c>
    </row>
    <row r="22" spans="1:16" x14ac:dyDescent="0.2">
      <c r="A22" s="50">
        <v>20</v>
      </c>
      <c r="B22" s="52">
        <v>0.79166666666666696</v>
      </c>
      <c r="C22" s="76">
        <v>0</v>
      </c>
      <c r="D22" s="76">
        <v>0</v>
      </c>
      <c r="E22" s="82">
        <v>0</v>
      </c>
      <c r="F22" s="86">
        <v>0</v>
      </c>
      <c r="G22" s="82">
        <v>0</v>
      </c>
      <c r="H22" s="76">
        <v>0</v>
      </c>
      <c r="I22" s="76">
        <v>0</v>
      </c>
      <c r="J22" s="76">
        <v>0</v>
      </c>
      <c r="K22" s="82">
        <v>0</v>
      </c>
      <c r="L22" s="86">
        <v>0</v>
      </c>
      <c r="M22" s="82">
        <v>0</v>
      </c>
      <c r="N22" s="76">
        <v>0</v>
      </c>
    </row>
    <row r="23" spans="1:16" x14ac:dyDescent="0.2">
      <c r="A23" s="50">
        <v>21</v>
      </c>
      <c r="B23" s="52">
        <v>0.83333333333333304</v>
      </c>
      <c r="C23" s="76">
        <v>0</v>
      </c>
      <c r="D23" s="76">
        <v>0</v>
      </c>
      <c r="E23" s="82">
        <v>0</v>
      </c>
      <c r="F23" s="86">
        <v>0</v>
      </c>
      <c r="G23" s="82">
        <v>0</v>
      </c>
      <c r="H23" s="76">
        <v>0</v>
      </c>
      <c r="I23" s="76">
        <v>0</v>
      </c>
      <c r="J23" s="76">
        <v>0</v>
      </c>
      <c r="K23" s="82">
        <v>0</v>
      </c>
      <c r="L23" s="86">
        <v>0</v>
      </c>
      <c r="M23" s="82">
        <v>0</v>
      </c>
      <c r="N23" s="76">
        <v>0</v>
      </c>
    </row>
    <row r="24" spans="1:16" x14ac:dyDescent="0.2">
      <c r="A24" s="50">
        <v>22</v>
      </c>
      <c r="B24" s="52">
        <v>0.875</v>
      </c>
      <c r="C24" s="76">
        <v>0</v>
      </c>
      <c r="D24" s="76">
        <v>0</v>
      </c>
      <c r="E24" s="82">
        <v>0</v>
      </c>
      <c r="F24" s="86">
        <v>0</v>
      </c>
      <c r="G24" s="82">
        <v>0</v>
      </c>
      <c r="H24" s="76">
        <v>0</v>
      </c>
      <c r="I24" s="76">
        <v>0</v>
      </c>
      <c r="J24" s="76">
        <v>0</v>
      </c>
      <c r="K24" s="82">
        <v>0</v>
      </c>
      <c r="L24" s="86">
        <v>0</v>
      </c>
      <c r="M24" s="82">
        <v>0</v>
      </c>
      <c r="N24" s="76">
        <v>0</v>
      </c>
    </row>
    <row r="25" spans="1:16" x14ac:dyDescent="0.2">
      <c r="A25" s="50">
        <v>23</v>
      </c>
      <c r="B25" s="52">
        <v>0.91666666666666696</v>
      </c>
      <c r="C25" s="76">
        <v>0</v>
      </c>
      <c r="D25" s="76">
        <v>0</v>
      </c>
      <c r="E25" s="82">
        <v>0</v>
      </c>
      <c r="F25" s="86">
        <v>0</v>
      </c>
      <c r="G25" s="82">
        <v>0</v>
      </c>
      <c r="H25" s="76">
        <v>0</v>
      </c>
      <c r="I25" s="76">
        <v>0</v>
      </c>
      <c r="J25" s="76">
        <v>0</v>
      </c>
      <c r="K25" s="82">
        <v>0</v>
      </c>
      <c r="L25" s="86">
        <v>0</v>
      </c>
      <c r="M25" s="82">
        <v>0</v>
      </c>
      <c r="N25" s="76">
        <v>0</v>
      </c>
    </row>
    <row r="26" spans="1:16" x14ac:dyDescent="0.2">
      <c r="A26" s="50">
        <v>24</v>
      </c>
      <c r="B26" s="52">
        <v>0.95833333333333304</v>
      </c>
      <c r="C26" s="76">
        <v>0</v>
      </c>
      <c r="D26" s="76">
        <v>0</v>
      </c>
      <c r="E26" s="82">
        <v>0</v>
      </c>
      <c r="F26" s="86">
        <v>0</v>
      </c>
      <c r="G26" s="82">
        <v>0</v>
      </c>
      <c r="H26" s="76">
        <v>0</v>
      </c>
      <c r="I26" s="76">
        <v>0</v>
      </c>
      <c r="J26" s="76">
        <v>0</v>
      </c>
      <c r="K26" s="82">
        <v>0</v>
      </c>
      <c r="L26" s="86">
        <v>0</v>
      </c>
      <c r="M26" s="82">
        <v>0</v>
      </c>
      <c r="N26" s="76">
        <v>0</v>
      </c>
    </row>
    <row r="27" spans="1:16" x14ac:dyDescent="0.2">
      <c r="C27" s="50">
        <f>SUM(C3:C26)</f>
        <v>9</v>
      </c>
      <c r="D27" s="62">
        <f t="shared" ref="D27:G27" si="0">SUM(D3:D26)</f>
        <v>9</v>
      </c>
      <c r="E27" s="62">
        <f t="shared" si="0"/>
        <v>12</v>
      </c>
      <c r="F27" s="62">
        <f t="shared" si="0"/>
        <v>14</v>
      </c>
      <c r="G27" s="62">
        <f t="shared" si="0"/>
        <v>15</v>
      </c>
      <c r="H27" s="62">
        <f t="shared" ref="H27" si="1">SUM(H3:H26)</f>
        <v>15</v>
      </c>
      <c r="I27" s="62">
        <f t="shared" ref="I27" si="2">SUM(I3:I26)</f>
        <v>15</v>
      </c>
      <c r="J27" s="62">
        <f t="shared" ref="J27:K27" si="3">SUM(J3:J26)</f>
        <v>15</v>
      </c>
      <c r="K27" s="62">
        <f t="shared" si="3"/>
        <v>14</v>
      </c>
      <c r="L27" s="62">
        <f t="shared" ref="L27" si="4">SUM(L3:L26)</f>
        <v>12</v>
      </c>
      <c r="M27" s="62">
        <f t="shared" ref="M27" si="5">SUM(M3:M26)</f>
        <v>9</v>
      </c>
      <c r="N27" s="62">
        <f t="shared" ref="N27" si="6">SUM(N3:N26)</f>
        <v>9</v>
      </c>
    </row>
    <row r="28" spans="1:16" x14ac:dyDescent="0.2">
      <c r="C28" s="50">
        <f>+C27*31</f>
        <v>279</v>
      </c>
      <c r="D28" s="62">
        <f>+D27*28</f>
        <v>252</v>
      </c>
      <c r="E28" s="62">
        <f>+E27*31</f>
        <v>372</v>
      </c>
      <c r="F28" s="62">
        <f>+F27*30</f>
        <v>420</v>
      </c>
      <c r="G28" s="64">
        <f t="shared" ref="G28" si="7">+G27*31</f>
        <v>465</v>
      </c>
      <c r="H28" s="64">
        <f>+H27*30</f>
        <v>450</v>
      </c>
      <c r="I28" s="64">
        <f t="shared" ref="I28" si="8">+I27*31</f>
        <v>465</v>
      </c>
      <c r="J28" s="64">
        <f>+J27*31</f>
        <v>465</v>
      </c>
      <c r="K28" s="64">
        <f>+K27*30</f>
        <v>420</v>
      </c>
      <c r="L28" s="64">
        <f>+L27*31</f>
        <v>372</v>
      </c>
      <c r="M28" s="64">
        <f>+M27*30</f>
        <v>270</v>
      </c>
      <c r="N28" s="64">
        <f>+N27*31</f>
        <v>279</v>
      </c>
      <c r="O28">
        <f>SUM(C28:N28)</f>
        <v>4509</v>
      </c>
    </row>
    <row r="29" spans="1:16" x14ac:dyDescent="0.2">
      <c r="C29" s="50">
        <f t="shared" ref="C29:N29" si="9">+C27*cuydhr</f>
        <v>1125</v>
      </c>
      <c r="D29" s="66">
        <f t="shared" si="9"/>
        <v>1125</v>
      </c>
      <c r="E29" s="66">
        <f t="shared" si="9"/>
        <v>1500</v>
      </c>
      <c r="F29" s="66">
        <f t="shared" si="9"/>
        <v>1750</v>
      </c>
      <c r="G29" s="66">
        <f t="shared" si="9"/>
        <v>1875</v>
      </c>
      <c r="H29" s="66">
        <f t="shared" si="9"/>
        <v>1875</v>
      </c>
      <c r="I29" s="66">
        <f t="shared" si="9"/>
        <v>1875</v>
      </c>
      <c r="J29" s="66">
        <f t="shared" si="9"/>
        <v>1875</v>
      </c>
      <c r="K29" s="66">
        <f t="shared" si="9"/>
        <v>1750</v>
      </c>
      <c r="L29" s="66">
        <f t="shared" si="9"/>
        <v>1500</v>
      </c>
      <c r="M29" s="66">
        <f t="shared" si="9"/>
        <v>1125</v>
      </c>
      <c r="N29" s="66">
        <f t="shared" si="9"/>
        <v>1125</v>
      </c>
    </row>
    <row r="30" spans="1:16" x14ac:dyDescent="0.2">
      <c r="C30" s="66">
        <f t="shared" ref="C30:N30" si="10">+C28*cuydhr</f>
        <v>34875</v>
      </c>
      <c r="D30" s="66">
        <f t="shared" si="10"/>
        <v>31500</v>
      </c>
      <c r="E30" s="66">
        <f t="shared" si="10"/>
        <v>46500</v>
      </c>
      <c r="F30" s="66">
        <f t="shared" si="10"/>
        <v>52500</v>
      </c>
      <c r="G30" s="66">
        <f t="shared" si="10"/>
        <v>58125</v>
      </c>
      <c r="H30" s="66">
        <f t="shared" si="10"/>
        <v>56250</v>
      </c>
      <c r="I30" s="66">
        <f t="shared" si="10"/>
        <v>58125</v>
      </c>
      <c r="J30" s="66">
        <f t="shared" si="10"/>
        <v>58125</v>
      </c>
      <c r="K30" s="66">
        <f t="shared" si="10"/>
        <v>52500</v>
      </c>
      <c r="L30" s="66">
        <f t="shared" si="10"/>
        <v>46500</v>
      </c>
      <c r="M30" s="66">
        <f t="shared" si="10"/>
        <v>33750</v>
      </c>
      <c r="N30" s="66">
        <f t="shared" si="10"/>
        <v>34875</v>
      </c>
      <c r="O30" s="66">
        <f>SUM(C30:N30)</f>
        <v>563625</v>
      </c>
      <c r="P30" s="66">
        <f>+cuydyr/Hours!O30</f>
        <v>0.88711465956974944</v>
      </c>
    </row>
    <row r="31" spans="1:16" x14ac:dyDescent="0.2">
      <c r="B31">
        <v>2</v>
      </c>
    </row>
    <row r="33" spans="2:14" x14ac:dyDescent="0.2">
      <c r="B33" s="52">
        <v>0</v>
      </c>
      <c r="C33" s="76">
        <v>0</v>
      </c>
      <c r="D33" s="82">
        <v>0</v>
      </c>
      <c r="E33" s="64">
        <v>0</v>
      </c>
      <c r="F33" s="86">
        <v>0</v>
      </c>
      <c r="G33" s="83">
        <v>0</v>
      </c>
      <c r="H33" s="64">
        <v>0</v>
      </c>
      <c r="I33" s="64">
        <v>0</v>
      </c>
      <c r="J33" s="64">
        <v>0</v>
      </c>
      <c r="K33" s="86">
        <v>0</v>
      </c>
      <c r="L33" s="86">
        <v>0</v>
      </c>
      <c r="M33" s="82">
        <v>0</v>
      </c>
      <c r="N33" s="82">
        <v>0</v>
      </c>
    </row>
    <row r="34" spans="2:14" x14ac:dyDescent="0.2">
      <c r="B34" s="52">
        <v>4.1666666666666664E-2</v>
      </c>
      <c r="C34" s="76">
        <v>0</v>
      </c>
      <c r="D34" s="82">
        <v>0</v>
      </c>
      <c r="E34" s="64">
        <v>0</v>
      </c>
      <c r="F34" s="86">
        <v>0</v>
      </c>
      <c r="G34" s="83">
        <v>0</v>
      </c>
      <c r="H34" s="64">
        <v>0</v>
      </c>
      <c r="I34" s="64">
        <v>0</v>
      </c>
      <c r="J34" s="64">
        <v>0</v>
      </c>
      <c r="K34" s="86">
        <v>0</v>
      </c>
      <c r="L34" s="86">
        <v>0</v>
      </c>
      <c r="M34" s="82">
        <v>0</v>
      </c>
      <c r="N34" s="82">
        <v>0</v>
      </c>
    </row>
    <row r="35" spans="2:14" x14ac:dyDescent="0.2">
      <c r="B35" s="52">
        <v>8.3333333333333301E-2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6">
        <v>0</v>
      </c>
      <c r="M35" s="86">
        <v>0</v>
      </c>
      <c r="N35" s="86">
        <v>0</v>
      </c>
    </row>
    <row r="36" spans="2:14" x14ac:dyDescent="0.2">
      <c r="B36" s="52">
        <v>0.125</v>
      </c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</row>
    <row r="37" spans="2:14" x14ac:dyDescent="0.2">
      <c r="B37" s="52">
        <v>0.16666666666666699</v>
      </c>
      <c r="C37" s="86">
        <v>0</v>
      </c>
      <c r="D37" s="86">
        <v>0</v>
      </c>
      <c r="E37" s="86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</row>
    <row r="38" spans="2:14" x14ac:dyDescent="0.2">
      <c r="B38" s="52">
        <v>0.20833333333333301</v>
      </c>
      <c r="C38" s="86">
        <v>0</v>
      </c>
      <c r="D38" s="86">
        <v>0</v>
      </c>
      <c r="E38" s="86">
        <v>0</v>
      </c>
      <c r="F38" s="86">
        <v>0</v>
      </c>
      <c r="G38" s="86">
        <v>1</v>
      </c>
      <c r="H38" s="86">
        <v>1</v>
      </c>
      <c r="I38" s="86">
        <v>1</v>
      </c>
      <c r="J38" s="86">
        <v>1</v>
      </c>
      <c r="K38" s="86">
        <v>0</v>
      </c>
      <c r="L38" s="86">
        <v>0</v>
      </c>
      <c r="M38" s="86">
        <v>0</v>
      </c>
      <c r="N38" s="86">
        <v>0</v>
      </c>
    </row>
    <row r="39" spans="2:14" x14ac:dyDescent="0.2">
      <c r="B39" s="52">
        <v>0.25</v>
      </c>
      <c r="C39" s="86">
        <v>0</v>
      </c>
      <c r="D39" s="86">
        <v>0</v>
      </c>
      <c r="E39" s="86">
        <v>0</v>
      </c>
      <c r="F39" s="86">
        <v>1</v>
      </c>
      <c r="G39" s="86">
        <v>1</v>
      </c>
      <c r="H39" s="86">
        <v>1</v>
      </c>
      <c r="I39" s="86">
        <v>1</v>
      </c>
      <c r="J39" s="86">
        <v>1</v>
      </c>
      <c r="K39" s="86">
        <v>1</v>
      </c>
      <c r="L39" s="86">
        <v>0</v>
      </c>
      <c r="M39" s="86">
        <v>0</v>
      </c>
      <c r="N39" s="86">
        <v>0</v>
      </c>
    </row>
    <row r="40" spans="2:14" x14ac:dyDescent="0.2">
      <c r="B40" s="52">
        <v>0.29166666666666702</v>
      </c>
      <c r="C40" s="86">
        <v>0</v>
      </c>
      <c r="D40" s="86">
        <v>0</v>
      </c>
      <c r="E40" s="86">
        <v>1</v>
      </c>
      <c r="F40" s="86">
        <v>1</v>
      </c>
      <c r="G40" s="86">
        <v>1</v>
      </c>
      <c r="H40" s="86">
        <v>1</v>
      </c>
      <c r="I40" s="86">
        <v>1</v>
      </c>
      <c r="J40" s="86">
        <v>1</v>
      </c>
      <c r="K40" s="86">
        <v>1</v>
      </c>
      <c r="L40" s="86">
        <v>1</v>
      </c>
      <c r="M40" s="86">
        <v>0</v>
      </c>
      <c r="N40" s="86">
        <v>0</v>
      </c>
    </row>
    <row r="41" spans="2:14" x14ac:dyDescent="0.2">
      <c r="B41" s="52">
        <v>0.33333333333333298</v>
      </c>
      <c r="C41" s="86">
        <v>0</v>
      </c>
      <c r="D41" s="86">
        <v>0</v>
      </c>
      <c r="E41" s="86">
        <v>1</v>
      </c>
      <c r="F41" s="86">
        <v>1</v>
      </c>
      <c r="G41" s="86">
        <v>1</v>
      </c>
      <c r="H41" s="86">
        <v>1</v>
      </c>
      <c r="I41" s="86">
        <v>1</v>
      </c>
      <c r="J41" s="86">
        <v>1</v>
      </c>
      <c r="K41" s="86">
        <v>1</v>
      </c>
      <c r="L41" s="86">
        <v>1</v>
      </c>
      <c r="M41" s="86">
        <v>0</v>
      </c>
      <c r="N41" s="86">
        <v>0</v>
      </c>
    </row>
    <row r="42" spans="2:14" x14ac:dyDescent="0.2">
      <c r="B42" s="52">
        <v>0.375</v>
      </c>
      <c r="C42" s="86">
        <v>1</v>
      </c>
      <c r="D42" s="86">
        <v>1</v>
      </c>
      <c r="E42" s="86">
        <v>1</v>
      </c>
      <c r="F42" s="86">
        <v>1</v>
      </c>
      <c r="G42" s="86">
        <v>1</v>
      </c>
      <c r="H42" s="86">
        <v>1</v>
      </c>
      <c r="I42" s="86">
        <v>1</v>
      </c>
      <c r="J42" s="86">
        <v>1</v>
      </c>
      <c r="K42" s="86">
        <v>1</v>
      </c>
      <c r="L42" s="86">
        <v>1</v>
      </c>
      <c r="M42" s="86">
        <v>1</v>
      </c>
      <c r="N42" s="86">
        <v>1</v>
      </c>
    </row>
    <row r="43" spans="2:14" x14ac:dyDescent="0.2">
      <c r="B43" s="52">
        <v>0.41666666666666702</v>
      </c>
      <c r="C43" s="86">
        <v>1</v>
      </c>
      <c r="D43" s="86">
        <v>1</v>
      </c>
      <c r="E43" s="86">
        <v>1</v>
      </c>
      <c r="F43" s="86">
        <v>1</v>
      </c>
      <c r="G43" s="86">
        <v>1</v>
      </c>
      <c r="H43" s="86">
        <v>1</v>
      </c>
      <c r="I43" s="86">
        <v>1</v>
      </c>
      <c r="J43" s="86">
        <v>1</v>
      </c>
      <c r="K43" s="86">
        <v>1</v>
      </c>
      <c r="L43" s="86">
        <v>1</v>
      </c>
      <c r="M43" s="86">
        <v>1</v>
      </c>
      <c r="N43" s="86">
        <v>1</v>
      </c>
    </row>
    <row r="44" spans="2:14" x14ac:dyDescent="0.2">
      <c r="B44" s="52">
        <v>0.45833333333333298</v>
      </c>
      <c r="C44" s="86">
        <v>1</v>
      </c>
      <c r="D44" s="86">
        <v>1</v>
      </c>
      <c r="E44" s="86">
        <v>1</v>
      </c>
      <c r="F44" s="86">
        <v>1</v>
      </c>
      <c r="G44" s="86">
        <v>1</v>
      </c>
      <c r="H44" s="86">
        <v>1</v>
      </c>
      <c r="I44" s="86">
        <v>1</v>
      </c>
      <c r="J44" s="86">
        <v>1</v>
      </c>
      <c r="K44" s="86">
        <v>1</v>
      </c>
      <c r="L44" s="86">
        <v>1</v>
      </c>
      <c r="M44" s="86">
        <v>1</v>
      </c>
      <c r="N44" s="86">
        <v>1</v>
      </c>
    </row>
    <row r="45" spans="2:14" x14ac:dyDescent="0.2">
      <c r="B45" s="52">
        <v>0.5</v>
      </c>
      <c r="C45" s="86">
        <v>1</v>
      </c>
      <c r="D45" s="86">
        <v>1</v>
      </c>
      <c r="E45" s="86">
        <v>1</v>
      </c>
      <c r="F45" s="86">
        <v>1</v>
      </c>
      <c r="G45" s="86">
        <v>1</v>
      </c>
      <c r="H45" s="86">
        <v>1</v>
      </c>
      <c r="I45" s="86">
        <v>1</v>
      </c>
      <c r="J45" s="86">
        <v>1</v>
      </c>
      <c r="K45" s="86">
        <v>1</v>
      </c>
      <c r="L45" s="86">
        <v>1</v>
      </c>
      <c r="M45" s="86">
        <v>1</v>
      </c>
      <c r="N45" s="86">
        <v>1</v>
      </c>
    </row>
    <row r="46" spans="2:14" x14ac:dyDescent="0.2">
      <c r="B46" s="52">
        <v>0.54166666666666696</v>
      </c>
      <c r="C46" s="86">
        <v>1</v>
      </c>
      <c r="D46" s="86">
        <v>1</v>
      </c>
      <c r="E46" s="86">
        <v>1</v>
      </c>
      <c r="F46" s="86">
        <v>1</v>
      </c>
      <c r="G46" s="86">
        <v>1</v>
      </c>
      <c r="H46" s="86">
        <v>1</v>
      </c>
      <c r="I46" s="86">
        <v>1</v>
      </c>
      <c r="J46" s="86">
        <v>1</v>
      </c>
      <c r="K46" s="86">
        <v>1</v>
      </c>
      <c r="L46" s="86">
        <v>1</v>
      </c>
      <c r="M46" s="86">
        <v>1</v>
      </c>
      <c r="N46" s="86">
        <v>1</v>
      </c>
    </row>
    <row r="47" spans="2:14" x14ac:dyDescent="0.2">
      <c r="B47" s="52">
        <v>0.58333333333333304</v>
      </c>
      <c r="C47" s="86">
        <v>1</v>
      </c>
      <c r="D47" s="86">
        <v>1</v>
      </c>
      <c r="E47" s="86">
        <v>1</v>
      </c>
      <c r="F47" s="86">
        <v>1</v>
      </c>
      <c r="G47" s="86">
        <v>1</v>
      </c>
      <c r="H47" s="86">
        <v>1</v>
      </c>
      <c r="I47" s="86">
        <v>1</v>
      </c>
      <c r="J47" s="86">
        <v>1</v>
      </c>
      <c r="K47" s="86">
        <v>1</v>
      </c>
      <c r="L47" s="86">
        <v>1</v>
      </c>
      <c r="M47" s="86">
        <v>1</v>
      </c>
      <c r="N47" s="86">
        <v>1</v>
      </c>
    </row>
    <row r="48" spans="2:14" x14ac:dyDescent="0.2">
      <c r="B48" s="52">
        <v>0.625</v>
      </c>
      <c r="C48" s="86">
        <v>1</v>
      </c>
      <c r="D48" s="86">
        <v>1</v>
      </c>
      <c r="E48" s="86">
        <v>1</v>
      </c>
      <c r="F48" s="86">
        <v>1</v>
      </c>
      <c r="G48" s="86">
        <v>1</v>
      </c>
      <c r="H48" s="86">
        <v>1</v>
      </c>
      <c r="I48" s="86">
        <v>1</v>
      </c>
      <c r="J48" s="86">
        <v>1</v>
      </c>
      <c r="K48" s="86">
        <v>1</v>
      </c>
      <c r="L48" s="86">
        <v>1</v>
      </c>
      <c r="M48" s="86">
        <v>1</v>
      </c>
      <c r="N48" s="86">
        <v>1</v>
      </c>
    </row>
    <row r="49" spans="2:14" x14ac:dyDescent="0.2">
      <c r="B49" s="52">
        <v>0.66666666666666696</v>
      </c>
      <c r="C49" s="86">
        <v>1</v>
      </c>
      <c r="D49" s="86">
        <v>1</v>
      </c>
      <c r="E49" s="86">
        <v>1</v>
      </c>
      <c r="F49" s="86">
        <v>1</v>
      </c>
      <c r="G49" s="86">
        <v>1</v>
      </c>
      <c r="H49" s="86">
        <v>1</v>
      </c>
      <c r="I49" s="86">
        <v>1</v>
      </c>
      <c r="J49" s="86">
        <v>1</v>
      </c>
      <c r="K49" s="86">
        <v>1</v>
      </c>
      <c r="L49" s="86">
        <v>1</v>
      </c>
      <c r="M49" s="86">
        <v>1</v>
      </c>
      <c r="N49" s="86">
        <v>1</v>
      </c>
    </row>
    <row r="50" spans="2:14" x14ac:dyDescent="0.2">
      <c r="B50" s="52">
        <v>0.70833333333333304</v>
      </c>
      <c r="C50" s="86">
        <v>1</v>
      </c>
      <c r="D50" s="86">
        <v>1</v>
      </c>
      <c r="E50" s="86">
        <v>1</v>
      </c>
      <c r="F50" s="86">
        <v>1</v>
      </c>
      <c r="G50" s="86">
        <v>1</v>
      </c>
      <c r="H50" s="86">
        <v>1</v>
      </c>
      <c r="I50" s="86">
        <v>1</v>
      </c>
      <c r="J50" s="86">
        <v>1</v>
      </c>
      <c r="K50" s="86">
        <v>1</v>
      </c>
      <c r="L50" s="86">
        <v>1</v>
      </c>
      <c r="M50" s="86">
        <v>1</v>
      </c>
      <c r="N50" s="86">
        <v>1</v>
      </c>
    </row>
    <row r="51" spans="2:14" x14ac:dyDescent="0.2">
      <c r="B51" s="52">
        <v>0.75</v>
      </c>
      <c r="C51" s="86">
        <v>0</v>
      </c>
      <c r="D51" s="86">
        <v>0</v>
      </c>
      <c r="E51" s="86">
        <v>1</v>
      </c>
      <c r="F51" s="86">
        <v>1</v>
      </c>
      <c r="G51" s="86">
        <v>1</v>
      </c>
      <c r="H51" s="86">
        <v>1</v>
      </c>
      <c r="I51" s="86">
        <v>1</v>
      </c>
      <c r="J51" s="86">
        <v>1</v>
      </c>
      <c r="K51" s="86">
        <v>1</v>
      </c>
      <c r="L51" s="86">
        <v>1</v>
      </c>
      <c r="M51" s="86">
        <v>0</v>
      </c>
      <c r="N51" s="86">
        <v>0</v>
      </c>
    </row>
    <row r="52" spans="2:14" x14ac:dyDescent="0.2">
      <c r="B52" s="52">
        <v>0.79166666666666696</v>
      </c>
      <c r="C52" s="86">
        <v>0</v>
      </c>
      <c r="D52" s="86">
        <v>0</v>
      </c>
      <c r="E52" s="86">
        <v>0</v>
      </c>
      <c r="F52" s="86">
        <v>1</v>
      </c>
      <c r="G52" s="86">
        <v>1</v>
      </c>
      <c r="H52" s="86">
        <v>1</v>
      </c>
      <c r="I52" s="86">
        <v>1</v>
      </c>
      <c r="J52" s="86">
        <v>1</v>
      </c>
      <c r="K52" s="86">
        <v>1</v>
      </c>
      <c r="L52" s="86">
        <v>0</v>
      </c>
      <c r="M52" s="86">
        <v>0</v>
      </c>
      <c r="N52" s="86">
        <v>0</v>
      </c>
    </row>
    <row r="53" spans="2:14" x14ac:dyDescent="0.2">
      <c r="B53" s="52">
        <v>0.83333333333333304</v>
      </c>
      <c r="C53" s="85">
        <v>0</v>
      </c>
      <c r="D53" s="85">
        <v>0</v>
      </c>
      <c r="E53" s="86">
        <v>0</v>
      </c>
      <c r="F53" s="86">
        <v>0</v>
      </c>
      <c r="G53" s="85">
        <v>0</v>
      </c>
      <c r="H53" s="85">
        <v>0</v>
      </c>
      <c r="I53" s="85">
        <v>0</v>
      </c>
      <c r="J53" s="85">
        <v>0</v>
      </c>
      <c r="K53" s="86">
        <v>0</v>
      </c>
      <c r="L53" s="86">
        <v>0</v>
      </c>
      <c r="M53" s="85">
        <v>0</v>
      </c>
      <c r="N53" s="85">
        <v>0</v>
      </c>
    </row>
    <row r="54" spans="2:14" x14ac:dyDescent="0.2">
      <c r="B54" s="52">
        <v>0.875</v>
      </c>
      <c r="C54" s="82">
        <v>0</v>
      </c>
      <c r="D54" s="82">
        <v>0</v>
      </c>
      <c r="E54" s="86">
        <v>0</v>
      </c>
      <c r="F54" s="86">
        <v>0</v>
      </c>
      <c r="G54" s="83">
        <v>0</v>
      </c>
      <c r="H54" s="82">
        <v>0</v>
      </c>
      <c r="I54" s="82">
        <v>0</v>
      </c>
      <c r="J54" s="82">
        <v>0</v>
      </c>
      <c r="K54" s="86">
        <v>0</v>
      </c>
      <c r="L54" s="86">
        <v>0</v>
      </c>
      <c r="M54" s="82">
        <v>0</v>
      </c>
      <c r="N54" s="82">
        <v>0</v>
      </c>
    </row>
    <row r="55" spans="2:14" x14ac:dyDescent="0.2">
      <c r="B55" s="52">
        <v>0.91666666666666696</v>
      </c>
      <c r="C55" s="82">
        <v>0</v>
      </c>
      <c r="D55" s="82">
        <v>0</v>
      </c>
      <c r="E55" s="86">
        <v>0</v>
      </c>
      <c r="F55" s="86">
        <v>0</v>
      </c>
      <c r="G55" s="83">
        <v>0</v>
      </c>
      <c r="H55" s="82">
        <v>0</v>
      </c>
      <c r="I55" s="82">
        <v>0</v>
      </c>
      <c r="J55" s="82">
        <v>0</v>
      </c>
      <c r="K55" s="86">
        <v>0</v>
      </c>
      <c r="L55" s="86">
        <v>0</v>
      </c>
      <c r="M55" s="82">
        <v>0</v>
      </c>
      <c r="N55" s="82">
        <v>0</v>
      </c>
    </row>
    <row r="56" spans="2:14" x14ac:dyDescent="0.2">
      <c r="B56" s="52">
        <v>0.95833333333333304</v>
      </c>
      <c r="C56" s="82">
        <v>0</v>
      </c>
      <c r="D56" s="82">
        <v>0</v>
      </c>
      <c r="E56" s="86">
        <v>0</v>
      </c>
      <c r="F56" s="86">
        <v>0</v>
      </c>
      <c r="G56" s="83">
        <v>0</v>
      </c>
      <c r="H56" s="82">
        <v>0</v>
      </c>
      <c r="I56" s="82">
        <v>0</v>
      </c>
      <c r="J56" s="82">
        <v>0</v>
      </c>
      <c r="K56" s="86">
        <v>0</v>
      </c>
      <c r="L56" s="86">
        <v>0</v>
      </c>
      <c r="M56" s="82">
        <v>0</v>
      </c>
      <c r="N56" s="82">
        <v>0</v>
      </c>
    </row>
    <row r="57" spans="2:14" x14ac:dyDescent="0.2">
      <c r="C57" s="50">
        <f>SUM(C33:C56)</f>
        <v>9</v>
      </c>
      <c r="D57" s="64">
        <f t="shared" ref="D57:N57" si="11">SUM(D33:D56)</f>
        <v>9</v>
      </c>
      <c r="E57" s="64">
        <f t="shared" si="11"/>
        <v>12</v>
      </c>
      <c r="F57" s="64">
        <f t="shared" si="11"/>
        <v>14</v>
      </c>
      <c r="G57" s="64">
        <f t="shared" si="11"/>
        <v>15</v>
      </c>
      <c r="H57" s="64">
        <f t="shared" si="11"/>
        <v>15</v>
      </c>
      <c r="I57" s="64">
        <f t="shared" si="11"/>
        <v>15</v>
      </c>
      <c r="J57" s="64">
        <f t="shared" si="11"/>
        <v>15</v>
      </c>
      <c r="K57" s="64">
        <f t="shared" si="11"/>
        <v>14</v>
      </c>
      <c r="L57" s="64">
        <f t="shared" si="11"/>
        <v>12</v>
      </c>
      <c r="M57" s="64">
        <f t="shared" si="11"/>
        <v>9</v>
      </c>
      <c r="N57" s="64">
        <f t="shared" si="11"/>
        <v>9</v>
      </c>
    </row>
    <row r="59" spans="2:14" x14ac:dyDescent="0.2">
      <c r="B59">
        <v>3</v>
      </c>
    </row>
    <row r="61" spans="2:14" x14ac:dyDescent="0.2">
      <c r="B61" s="52">
        <v>0</v>
      </c>
      <c r="C61" s="83">
        <v>0</v>
      </c>
      <c r="D61" s="83">
        <v>0</v>
      </c>
      <c r="E61" s="86">
        <v>0</v>
      </c>
      <c r="F61" s="86">
        <v>0</v>
      </c>
      <c r="G61" s="83">
        <v>0</v>
      </c>
      <c r="H61" s="82">
        <v>0</v>
      </c>
      <c r="I61" s="82">
        <v>0</v>
      </c>
      <c r="J61" s="82">
        <v>0</v>
      </c>
      <c r="K61" s="86">
        <v>0</v>
      </c>
      <c r="L61" s="86">
        <v>0</v>
      </c>
      <c r="M61" s="83">
        <v>0</v>
      </c>
      <c r="N61" s="83">
        <v>0</v>
      </c>
    </row>
    <row r="62" spans="2:14" x14ac:dyDescent="0.2">
      <c r="B62" s="52">
        <v>4.1666666666666664E-2</v>
      </c>
      <c r="C62" s="83">
        <v>0</v>
      </c>
      <c r="D62" s="83">
        <v>0</v>
      </c>
      <c r="E62" s="86">
        <v>0</v>
      </c>
      <c r="F62" s="86">
        <v>0</v>
      </c>
      <c r="G62" s="83">
        <v>0</v>
      </c>
      <c r="H62" s="82">
        <v>0</v>
      </c>
      <c r="I62" s="82">
        <v>0</v>
      </c>
      <c r="J62" s="82">
        <v>0</v>
      </c>
      <c r="K62" s="86">
        <v>0</v>
      </c>
      <c r="L62" s="86">
        <v>0</v>
      </c>
      <c r="M62" s="83">
        <v>0</v>
      </c>
      <c r="N62" s="83">
        <v>0</v>
      </c>
    </row>
    <row r="63" spans="2:14" x14ac:dyDescent="0.2">
      <c r="B63" s="52">
        <v>8.3333333333333301E-2</v>
      </c>
      <c r="C63" s="83">
        <v>0</v>
      </c>
      <c r="D63" s="83">
        <v>0</v>
      </c>
      <c r="E63" s="86">
        <v>0</v>
      </c>
      <c r="F63" s="86">
        <v>0</v>
      </c>
      <c r="G63" s="83">
        <v>0</v>
      </c>
      <c r="H63" s="82">
        <v>0</v>
      </c>
      <c r="I63" s="82">
        <v>0</v>
      </c>
      <c r="J63" s="82">
        <v>0</v>
      </c>
      <c r="K63" s="86">
        <v>0</v>
      </c>
      <c r="L63" s="86">
        <v>0</v>
      </c>
      <c r="M63" s="83">
        <v>0</v>
      </c>
      <c r="N63" s="83">
        <v>0</v>
      </c>
    </row>
    <row r="64" spans="2:14" x14ac:dyDescent="0.2">
      <c r="B64" s="52">
        <v>0.125</v>
      </c>
      <c r="C64" s="83">
        <v>0</v>
      </c>
      <c r="D64" s="83">
        <v>0</v>
      </c>
      <c r="E64" s="86">
        <v>0</v>
      </c>
      <c r="F64" s="86">
        <v>0</v>
      </c>
      <c r="G64" s="83">
        <v>0</v>
      </c>
      <c r="H64" s="82">
        <v>0</v>
      </c>
      <c r="I64" s="82">
        <v>0</v>
      </c>
      <c r="J64" s="82">
        <v>0</v>
      </c>
      <c r="K64" s="86">
        <v>0</v>
      </c>
      <c r="L64" s="86">
        <v>0</v>
      </c>
      <c r="M64" s="83">
        <v>0</v>
      </c>
      <c r="N64" s="83">
        <v>0</v>
      </c>
    </row>
    <row r="65" spans="2:14" x14ac:dyDescent="0.2">
      <c r="B65" s="52">
        <v>0.16666666666666699</v>
      </c>
      <c r="C65" s="83">
        <v>0</v>
      </c>
      <c r="D65" s="83">
        <v>0</v>
      </c>
      <c r="E65" s="86">
        <v>0</v>
      </c>
      <c r="F65" s="86">
        <v>0</v>
      </c>
      <c r="G65" s="83">
        <v>0</v>
      </c>
      <c r="H65" s="83">
        <v>0</v>
      </c>
      <c r="I65" s="83">
        <v>0</v>
      </c>
      <c r="J65" s="83">
        <v>0</v>
      </c>
      <c r="K65" s="86">
        <v>0</v>
      </c>
      <c r="L65" s="86">
        <v>0</v>
      </c>
      <c r="M65" s="83">
        <v>0</v>
      </c>
      <c r="N65" s="83">
        <v>0</v>
      </c>
    </row>
    <row r="66" spans="2:14" x14ac:dyDescent="0.2">
      <c r="B66" s="52">
        <v>0.20833333333333301</v>
      </c>
      <c r="C66" s="83">
        <v>0</v>
      </c>
      <c r="D66" s="83">
        <v>0</v>
      </c>
      <c r="E66" s="86">
        <v>0</v>
      </c>
      <c r="F66" s="86">
        <v>0</v>
      </c>
      <c r="G66" s="84">
        <v>0</v>
      </c>
      <c r="H66" s="84">
        <v>0</v>
      </c>
      <c r="I66" s="84">
        <v>0</v>
      </c>
      <c r="J66" s="84">
        <v>0</v>
      </c>
      <c r="K66" s="86">
        <v>0</v>
      </c>
      <c r="L66" s="86">
        <v>0</v>
      </c>
      <c r="M66" s="83">
        <v>0</v>
      </c>
      <c r="N66" s="83">
        <v>0</v>
      </c>
    </row>
    <row r="67" spans="2:14" x14ac:dyDescent="0.2">
      <c r="B67" s="52">
        <v>0.25</v>
      </c>
      <c r="C67" s="83">
        <v>0</v>
      </c>
      <c r="D67" s="83">
        <v>0</v>
      </c>
      <c r="E67" s="86">
        <v>0</v>
      </c>
      <c r="F67" s="86">
        <v>0</v>
      </c>
      <c r="G67" s="84">
        <v>1</v>
      </c>
      <c r="H67" s="84">
        <v>1</v>
      </c>
      <c r="I67" s="84">
        <v>1</v>
      </c>
      <c r="J67" s="84">
        <v>1</v>
      </c>
      <c r="K67" s="86">
        <v>0</v>
      </c>
      <c r="L67" s="86">
        <v>0</v>
      </c>
      <c r="M67" s="83">
        <v>0</v>
      </c>
      <c r="N67" s="83">
        <v>0</v>
      </c>
    </row>
    <row r="68" spans="2:14" x14ac:dyDescent="0.2">
      <c r="B68" s="52">
        <v>0.29166666666666702</v>
      </c>
      <c r="C68" s="83">
        <v>0</v>
      </c>
      <c r="D68" s="83">
        <v>0</v>
      </c>
      <c r="E68" s="86">
        <v>1</v>
      </c>
      <c r="F68" s="86">
        <v>1</v>
      </c>
      <c r="G68" s="84">
        <v>1</v>
      </c>
      <c r="H68" s="84">
        <v>1</v>
      </c>
      <c r="I68" s="84">
        <v>1</v>
      </c>
      <c r="J68" s="84">
        <v>1</v>
      </c>
      <c r="K68" s="86">
        <v>1</v>
      </c>
      <c r="L68" s="86">
        <v>1</v>
      </c>
      <c r="M68" s="83">
        <v>0</v>
      </c>
      <c r="N68" s="83">
        <v>0</v>
      </c>
    </row>
    <row r="69" spans="2:14" x14ac:dyDescent="0.2">
      <c r="B69" s="52">
        <v>0.33333333333333298</v>
      </c>
      <c r="C69" s="83">
        <v>0</v>
      </c>
      <c r="D69" s="83">
        <v>0</v>
      </c>
      <c r="E69" s="86">
        <v>1</v>
      </c>
      <c r="F69" s="86">
        <v>1</v>
      </c>
      <c r="G69" s="84">
        <v>1</v>
      </c>
      <c r="H69" s="84">
        <v>1</v>
      </c>
      <c r="I69" s="84">
        <v>1</v>
      </c>
      <c r="J69" s="84">
        <v>1</v>
      </c>
      <c r="K69" s="86">
        <v>1</v>
      </c>
      <c r="L69" s="86">
        <v>1</v>
      </c>
      <c r="M69" s="83">
        <v>0</v>
      </c>
      <c r="N69" s="83">
        <v>0</v>
      </c>
    </row>
    <row r="70" spans="2:14" x14ac:dyDescent="0.2">
      <c r="B70" s="52">
        <v>0.375</v>
      </c>
      <c r="C70" s="83">
        <v>1</v>
      </c>
      <c r="D70" s="83">
        <v>1</v>
      </c>
      <c r="E70" s="86">
        <v>1</v>
      </c>
      <c r="F70" s="86">
        <v>1</v>
      </c>
      <c r="G70" s="84">
        <v>1</v>
      </c>
      <c r="H70" s="84">
        <v>1</v>
      </c>
      <c r="I70" s="84">
        <v>1</v>
      </c>
      <c r="J70" s="84">
        <v>1</v>
      </c>
      <c r="K70" s="86">
        <v>1</v>
      </c>
      <c r="L70" s="86">
        <v>1</v>
      </c>
      <c r="M70" s="83">
        <v>1</v>
      </c>
      <c r="N70" s="83">
        <v>1</v>
      </c>
    </row>
    <row r="71" spans="2:14" x14ac:dyDescent="0.2">
      <c r="B71" s="52">
        <v>0.41666666666666702</v>
      </c>
      <c r="C71" s="83">
        <v>1</v>
      </c>
      <c r="D71" s="83">
        <v>1</v>
      </c>
      <c r="E71" s="86">
        <v>1</v>
      </c>
      <c r="F71" s="86">
        <v>1</v>
      </c>
      <c r="G71" s="84">
        <v>1</v>
      </c>
      <c r="H71" s="84">
        <v>1</v>
      </c>
      <c r="I71" s="84">
        <v>1</v>
      </c>
      <c r="J71" s="84">
        <v>1</v>
      </c>
      <c r="K71" s="86">
        <v>1</v>
      </c>
      <c r="L71" s="86">
        <v>1</v>
      </c>
      <c r="M71" s="83">
        <v>1</v>
      </c>
      <c r="N71" s="83">
        <v>1</v>
      </c>
    </row>
    <row r="72" spans="2:14" x14ac:dyDescent="0.2">
      <c r="B72" s="52">
        <v>0.45833333333333298</v>
      </c>
      <c r="C72" s="83">
        <v>1</v>
      </c>
      <c r="D72" s="83">
        <v>1</v>
      </c>
      <c r="E72" s="86">
        <v>1</v>
      </c>
      <c r="F72" s="86">
        <v>1</v>
      </c>
      <c r="G72" s="84">
        <v>1</v>
      </c>
      <c r="H72" s="84">
        <v>1</v>
      </c>
      <c r="I72" s="84">
        <v>1</v>
      </c>
      <c r="J72" s="84">
        <v>1</v>
      </c>
      <c r="K72" s="86">
        <v>1</v>
      </c>
      <c r="L72" s="86">
        <v>1</v>
      </c>
      <c r="M72" s="83">
        <v>1</v>
      </c>
      <c r="N72" s="83">
        <v>1</v>
      </c>
    </row>
    <row r="73" spans="2:14" x14ac:dyDescent="0.2">
      <c r="B73" s="52">
        <v>0.5</v>
      </c>
      <c r="C73" s="83">
        <v>1</v>
      </c>
      <c r="D73" s="83">
        <v>1</v>
      </c>
      <c r="E73" s="86">
        <v>1</v>
      </c>
      <c r="F73" s="86">
        <v>1</v>
      </c>
      <c r="G73" s="84">
        <v>1</v>
      </c>
      <c r="H73" s="84">
        <v>1</v>
      </c>
      <c r="I73" s="84">
        <v>1</v>
      </c>
      <c r="J73" s="84">
        <v>1</v>
      </c>
      <c r="K73" s="86">
        <v>1</v>
      </c>
      <c r="L73" s="86">
        <v>1</v>
      </c>
      <c r="M73" s="83">
        <v>1</v>
      </c>
      <c r="N73" s="83">
        <v>1</v>
      </c>
    </row>
    <row r="74" spans="2:14" x14ac:dyDescent="0.2">
      <c r="B74" s="52">
        <v>0.54166666666666696</v>
      </c>
      <c r="C74" s="83">
        <v>1</v>
      </c>
      <c r="D74" s="83">
        <v>1</v>
      </c>
      <c r="E74" s="86">
        <v>1</v>
      </c>
      <c r="F74" s="86">
        <v>1</v>
      </c>
      <c r="G74" s="84">
        <v>1</v>
      </c>
      <c r="H74" s="84">
        <v>1</v>
      </c>
      <c r="I74" s="84">
        <v>1</v>
      </c>
      <c r="J74" s="84">
        <v>1</v>
      </c>
      <c r="K74" s="86">
        <v>1</v>
      </c>
      <c r="L74" s="86">
        <v>1</v>
      </c>
      <c r="M74" s="83">
        <v>1</v>
      </c>
      <c r="N74" s="83">
        <v>1</v>
      </c>
    </row>
    <row r="75" spans="2:14" x14ac:dyDescent="0.2">
      <c r="B75" s="52">
        <v>0.58333333333333304</v>
      </c>
      <c r="C75" s="83">
        <v>1</v>
      </c>
      <c r="D75" s="83">
        <v>1</v>
      </c>
      <c r="E75" s="86">
        <v>1</v>
      </c>
      <c r="F75" s="86">
        <v>1</v>
      </c>
      <c r="G75" s="84">
        <v>1</v>
      </c>
      <c r="H75" s="84">
        <v>1</v>
      </c>
      <c r="I75" s="84">
        <v>1</v>
      </c>
      <c r="J75" s="84">
        <v>1</v>
      </c>
      <c r="K75" s="86">
        <v>1</v>
      </c>
      <c r="L75" s="86">
        <v>1</v>
      </c>
      <c r="M75" s="83">
        <v>1</v>
      </c>
      <c r="N75" s="83">
        <v>1</v>
      </c>
    </row>
    <row r="76" spans="2:14" x14ac:dyDescent="0.2">
      <c r="B76" s="52">
        <v>0.625</v>
      </c>
      <c r="C76" s="83">
        <v>1</v>
      </c>
      <c r="D76" s="83">
        <v>1</v>
      </c>
      <c r="E76" s="86">
        <v>1</v>
      </c>
      <c r="F76" s="86">
        <v>1</v>
      </c>
      <c r="G76" s="84">
        <v>1</v>
      </c>
      <c r="H76" s="84">
        <v>1</v>
      </c>
      <c r="I76" s="84">
        <v>1</v>
      </c>
      <c r="J76" s="84">
        <v>1</v>
      </c>
      <c r="K76" s="86">
        <v>1</v>
      </c>
      <c r="L76" s="86">
        <v>1</v>
      </c>
      <c r="M76" s="83">
        <v>1</v>
      </c>
      <c r="N76" s="83">
        <v>1</v>
      </c>
    </row>
    <row r="77" spans="2:14" x14ac:dyDescent="0.2">
      <c r="B77" s="52">
        <v>0.66666666666666696</v>
      </c>
      <c r="C77" s="83">
        <v>1</v>
      </c>
      <c r="D77" s="83">
        <v>1</v>
      </c>
      <c r="E77" s="86">
        <v>1</v>
      </c>
      <c r="F77" s="86">
        <v>1</v>
      </c>
      <c r="G77" s="84">
        <v>1</v>
      </c>
      <c r="H77" s="84">
        <v>1</v>
      </c>
      <c r="I77" s="84">
        <v>1</v>
      </c>
      <c r="J77" s="84">
        <v>1</v>
      </c>
      <c r="K77" s="86">
        <v>1</v>
      </c>
      <c r="L77" s="86">
        <v>1</v>
      </c>
      <c r="M77" s="83">
        <v>1</v>
      </c>
      <c r="N77" s="83">
        <v>1</v>
      </c>
    </row>
    <row r="78" spans="2:14" x14ac:dyDescent="0.2">
      <c r="B78" s="52">
        <v>0.70833333333333304</v>
      </c>
      <c r="C78" s="83">
        <v>1</v>
      </c>
      <c r="D78" s="83">
        <v>1</v>
      </c>
      <c r="E78" s="86">
        <v>1</v>
      </c>
      <c r="F78" s="86">
        <v>1</v>
      </c>
      <c r="G78" s="84">
        <v>1</v>
      </c>
      <c r="H78" s="84">
        <v>1</v>
      </c>
      <c r="I78" s="84">
        <v>1</v>
      </c>
      <c r="J78" s="84">
        <v>1</v>
      </c>
      <c r="K78" s="86">
        <v>1</v>
      </c>
      <c r="L78" s="86">
        <v>1</v>
      </c>
      <c r="M78" s="83">
        <v>1</v>
      </c>
      <c r="N78" s="83">
        <v>1</v>
      </c>
    </row>
    <row r="79" spans="2:14" x14ac:dyDescent="0.2">
      <c r="B79" s="52">
        <v>0.75</v>
      </c>
      <c r="C79" s="83">
        <v>0</v>
      </c>
      <c r="D79" s="83">
        <v>0</v>
      </c>
      <c r="E79" s="86">
        <v>1</v>
      </c>
      <c r="F79" s="86">
        <v>1</v>
      </c>
      <c r="G79" s="84">
        <v>1</v>
      </c>
      <c r="H79" s="84">
        <v>1</v>
      </c>
      <c r="I79" s="84">
        <v>1</v>
      </c>
      <c r="J79" s="84">
        <v>1</v>
      </c>
      <c r="K79" s="86">
        <v>1</v>
      </c>
      <c r="L79" s="86">
        <v>1</v>
      </c>
      <c r="M79" s="83">
        <v>0</v>
      </c>
      <c r="N79" s="83">
        <v>0</v>
      </c>
    </row>
    <row r="80" spans="2:14" x14ac:dyDescent="0.2">
      <c r="B80" s="52">
        <v>0.79166666666666696</v>
      </c>
      <c r="C80" s="83">
        <v>0</v>
      </c>
      <c r="D80" s="83">
        <v>0</v>
      </c>
      <c r="E80" s="86">
        <v>0</v>
      </c>
      <c r="F80" s="86">
        <v>1</v>
      </c>
      <c r="G80" s="84">
        <v>1</v>
      </c>
      <c r="H80" s="84">
        <v>1</v>
      </c>
      <c r="I80" s="84">
        <v>1</v>
      </c>
      <c r="J80" s="84">
        <v>1</v>
      </c>
      <c r="K80" s="86">
        <v>1</v>
      </c>
      <c r="L80" s="86">
        <v>0</v>
      </c>
      <c r="M80" s="83">
        <v>0</v>
      </c>
      <c r="N80" s="83">
        <v>0</v>
      </c>
    </row>
    <row r="81" spans="2:20" x14ac:dyDescent="0.2">
      <c r="B81" s="52">
        <v>0.83333333333333304</v>
      </c>
      <c r="C81" s="83">
        <v>0</v>
      </c>
      <c r="D81" s="83">
        <v>0</v>
      </c>
      <c r="E81" s="86">
        <v>0</v>
      </c>
      <c r="F81" s="86">
        <v>1</v>
      </c>
      <c r="G81" s="84">
        <v>1</v>
      </c>
      <c r="H81" s="84">
        <v>1</v>
      </c>
      <c r="I81" s="84">
        <v>1</v>
      </c>
      <c r="J81" s="84">
        <v>1</v>
      </c>
      <c r="K81" s="86">
        <v>1</v>
      </c>
      <c r="L81" s="86">
        <v>0</v>
      </c>
      <c r="M81" s="83">
        <v>0</v>
      </c>
      <c r="N81" s="83">
        <v>0</v>
      </c>
    </row>
    <row r="82" spans="2:20" x14ac:dyDescent="0.2">
      <c r="B82" s="52">
        <v>0.875</v>
      </c>
      <c r="C82" s="83">
        <v>0</v>
      </c>
      <c r="D82" s="83">
        <v>0</v>
      </c>
      <c r="E82" s="86">
        <v>0</v>
      </c>
      <c r="F82" s="86">
        <v>0</v>
      </c>
      <c r="G82" s="84">
        <v>0</v>
      </c>
      <c r="H82" s="84">
        <v>0</v>
      </c>
      <c r="I82" s="84">
        <v>0</v>
      </c>
      <c r="J82" s="84">
        <v>0</v>
      </c>
      <c r="K82" s="86">
        <v>0</v>
      </c>
      <c r="L82" s="86">
        <v>0</v>
      </c>
      <c r="M82" s="83">
        <v>0</v>
      </c>
      <c r="N82" s="83">
        <v>0</v>
      </c>
    </row>
    <row r="83" spans="2:20" x14ac:dyDescent="0.2">
      <c r="B83" s="52">
        <v>0.91666666666666696</v>
      </c>
      <c r="C83" s="83">
        <v>0</v>
      </c>
      <c r="D83" s="83">
        <v>0</v>
      </c>
      <c r="E83" s="86">
        <v>0</v>
      </c>
      <c r="F83" s="86">
        <v>0</v>
      </c>
      <c r="G83" s="83">
        <v>0</v>
      </c>
      <c r="H83" s="82">
        <v>0</v>
      </c>
      <c r="I83" s="82">
        <v>0</v>
      </c>
      <c r="J83" s="82">
        <v>0</v>
      </c>
      <c r="K83" s="86">
        <v>0</v>
      </c>
      <c r="L83" s="86">
        <v>0</v>
      </c>
      <c r="M83" s="83">
        <v>0</v>
      </c>
      <c r="N83" s="83">
        <v>0</v>
      </c>
    </row>
    <row r="84" spans="2:20" x14ac:dyDescent="0.2">
      <c r="B84" s="52">
        <v>0.95833333333333304</v>
      </c>
      <c r="C84" s="83">
        <v>0</v>
      </c>
      <c r="D84" s="83">
        <v>0</v>
      </c>
      <c r="E84" s="86">
        <v>0</v>
      </c>
      <c r="F84" s="86">
        <v>0</v>
      </c>
      <c r="G84" s="83">
        <v>0</v>
      </c>
      <c r="H84" s="82">
        <v>0</v>
      </c>
      <c r="I84" s="82">
        <v>0</v>
      </c>
      <c r="J84" s="82">
        <v>0</v>
      </c>
      <c r="K84" s="86">
        <v>0</v>
      </c>
      <c r="L84" s="86">
        <v>0</v>
      </c>
      <c r="M84" s="83">
        <v>0</v>
      </c>
      <c r="N84" s="83">
        <v>0</v>
      </c>
    </row>
    <row r="85" spans="2:20" x14ac:dyDescent="0.2">
      <c r="C85" s="50">
        <f>SUM(C61:C84)</f>
        <v>9</v>
      </c>
      <c r="D85" s="64">
        <f t="shared" ref="D85:N85" si="12">SUM(D61:D84)</f>
        <v>9</v>
      </c>
      <c r="E85" s="64">
        <f t="shared" si="12"/>
        <v>12</v>
      </c>
      <c r="F85" s="64">
        <f t="shared" si="12"/>
        <v>14</v>
      </c>
      <c r="G85" s="64">
        <f t="shared" si="12"/>
        <v>15</v>
      </c>
      <c r="H85" s="64">
        <f t="shared" si="12"/>
        <v>15</v>
      </c>
      <c r="I85" s="64">
        <f t="shared" si="12"/>
        <v>15</v>
      </c>
      <c r="J85" s="64">
        <f t="shared" si="12"/>
        <v>15</v>
      </c>
      <c r="K85" s="64">
        <f t="shared" si="12"/>
        <v>14</v>
      </c>
      <c r="L85" s="64">
        <f t="shared" si="12"/>
        <v>12</v>
      </c>
      <c r="M85" s="64">
        <f t="shared" si="12"/>
        <v>9</v>
      </c>
      <c r="N85" s="64">
        <f t="shared" si="12"/>
        <v>9</v>
      </c>
    </row>
    <row r="86" spans="2:20" x14ac:dyDescent="0.2"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R86" s="84"/>
      <c r="S86" s="84"/>
      <c r="T86" s="84"/>
    </row>
    <row r="87" spans="2:20" x14ac:dyDescent="0.2">
      <c r="B87" s="52"/>
    </row>
    <row r="88" spans="2:20" ht="25.5" x14ac:dyDescent="0.2">
      <c r="C88" s="65" t="s">
        <v>125</v>
      </c>
      <c r="D88" s="10" t="s">
        <v>126</v>
      </c>
      <c r="E88" s="10" t="s">
        <v>127</v>
      </c>
      <c r="F88" s="10" t="s">
        <v>128</v>
      </c>
      <c r="G88" s="10" t="s">
        <v>129</v>
      </c>
      <c r="H88" s="10" t="s">
        <v>130</v>
      </c>
      <c r="I88" s="10" t="s">
        <v>131</v>
      </c>
      <c r="J88" s="10" t="s">
        <v>132</v>
      </c>
      <c r="K88" s="10" t="s">
        <v>133</v>
      </c>
      <c r="L88" s="10" t="s">
        <v>134</v>
      </c>
      <c r="M88" s="10" t="s">
        <v>135</v>
      </c>
      <c r="N88" s="10" t="s">
        <v>136</v>
      </c>
      <c r="R88" s="2" t="s">
        <v>199</v>
      </c>
      <c r="S88" s="2" t="s">
        <v>200</v>
      </c>
      <c r="T88" s="80" t="s">
        <v>201</v>
      </c>
    </row>
    <row r="89" spans="2:20" x14ac:dyDescent="0.2">
      <c r="B89" s="52">
        <v>0</v>
      </c>
      <c r="C89" s="86">
        <v>0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R89" s="2" t="s">
        <v>202</v>
      </c>
      <c r="S89" s="2" t="s">
        <v>204</v>
      </c>
      <c r="T89" s="2">
        <v>1125</v>
      </c>
    </row>
    <row r="90" spans="2:20" x14ac:dyDescent="0.2">
      <c r="B90" s="52">
        <v>4.1666666666666664E-2</v>
      </c>
      <c r="C90" s="86">
        <v>0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R90" s="2" t="s">
        <v>203</v>
      </c>
      <c r="S90" s="48" t="s">
        <v>220</v>
      </c>
      <c r="T90" s="2">
        <v>1500</v>
      </c>
    </row>
    <row r="91" spans="2:20" x14ac:dyDescent="0.2">
      <c r="B91" s="52">
        <v>8.3333333333333301E-2</v>
      </c>
      <c r="C91" s="86">
        <v>0</v>
      </c>
      <c r="D91" s="86">
        <v>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R91" s="2" t="s">
        <v>217</v>
      </c>
      <c r="S91" s="2" t="s">
        <v>219</v>
      </c>
      <c r="T91" s="2">
        <v>1750</v>
      </c>
    </row>
    <row r="92" spans="2:20" x14ac:dyDescent="0.2">
      <c r="B92" s="52">
        <v>0.125</v>
      </c>
      <c r="C92" s="86">
        <v>0</v>
      </c>
      <c r="D92" s="86">
        <v>0</v>
      </c>
      <c r="E92" s="86">
        <v>0</v>
      </c>
      <c r="F92" s="86">
        <v>0</v>
      </c>
      <c r="G92" s="86">
        <v>1</v>
      </c>
      <c r="H92" s="86">
        <v>1</v>
      </c>
      <c r="I92" s="86">
        <v>1</v>
      </c>
      <c r="J92" s="86">
        <v>1</v>
      </c>
      <c r="K92" s="86">
        <v>0</v>
      </c>
      <c r="L92" s="86">
        <v>0</v>
      </c>
      <c r="M92" s="86">
        <v>0</v>
      </c>
      <c r="N92" s="86">
        <v>0</v>
      </c>
      <c r="R92" s="2" t="s">
        <v>218</v>
      </c>
      <c r="S92" s="2" t="s">
        <v>205</v>
      </c>
      <c r="T92" s="2">
        <v>1875</v>
      </c>
    </row>
    <row r="93" spans="2:20" x14ac:dyDescent="0.2">
      <c r="B93" s="52">
        <v>0.16666666666666699</v>
      </c>
      <c r="C93" s="86">
        <v>0</v>
      </c>
      <c r="D93" s="86">
        <v>0</v>
      </c>
      <c r="E93" s="86">
        <v>0</v>
      </c>
      <c r="F93" s="86">
        <v>1</v>
      </c>
      <c r="G93" s="86">
        <v>1</v>
      </c>
      <c r="H93" s="86">
        <v>1</v>
      </c>
      <c r="I93" s="86">
        <v>1</v>
      </c>
      <c r="J93" s="86">
        <v>1</v>
      </c>
      <c r="K93" s="86">
        <v>1</v>
      </c>
      <c r="L93" s="86">
        <v>0</v>
      </c>
      <c r="M93" s="86">
        <v>0</v>
      </c>
      <c r="N93" s="86">
        <v>0</v>
      </c>
    </row>
    <row r="94" spans="2:20" x14ac:dyDescent="0.2">
      <c r="B94" s="52">
        <v>0.20833333333333301</v>
      </c>
      <c r="C94" s="86">
        <v>0</v>
      </c>
      <c r="D94" s="86">
        <v>0</v>
      </c>
      <c r="E94" s="86">
        <v>1</v>
      </c>
      <c r="F94" s="86">
        <v>1</v>
      </c>
      <c r="G94" s="86">
        <v>1</v>
      </c>
      <c r="H94" s="86">
        <v>1</v>
      </c>
      <c r="I94" s="86">
        <v>1</v>
      </c>
      <c r="J94" s="86">
        <v>1</v>
      </c>
      <c r="K94" s="86">
        <v>1</v>
      </c>
      <c r="L94" s="86">
        <v>1</v>
      </c>
      <c r="M94" s="86">
        <v>0</v>
      </c>
      <c r="N94" s="86">
        <v>0</v>
      </c>
    </row>
    <row r="95" spans="2:20" x14ac:dyDescent="0.2">
      <c r="B95" s="52">
        <v>0.25</v>
      </c>
      <c r="C95" s="86">
        <v>0</v>
      </c>
      <c r="D95" s="86">
        <v>0</v>
      </c>
      <c r="E95" s="86">
        <v>1</v>
      </c>
      <c r="F95" s="86">
        <v>1</v>
      </c>
      <c r="G95" s="86">
        <v>1</v>
      </c>
      <c r="H95" s="86">
        <v>1</v>
      </c>
      <c r="I95" s="86">
        <v>1</v>
      </c>
      <c r="J95" s="86">
        <v>1</v>
      </c>
      <c r="K95" s="86">
        <v>1</v>
      </c>
      <c r="L95" s="86">
        <v>1</v>
      </c>
      <c r="M95" s="86">
        <v>0</v>
      </c>
      <c r="N95" s="86">
        <v>0</v>
      </c>
    </row>
    <row r="96" spans="2:20" x14ac:dyDescent="0.2">
      <c r="B96" s="52">
        <v>0.29166666666666702</v>
      </c>
      <c r="C96" s="86">
        <v>1</v>
      </c>
      <c r="D96" s="86">
        <v>1</v>
      </c>
      <c r="E96" s="86">
        <v>1</v>
      </c>
      <c r="F96" s="86">
        <v>1</v>
      </c>
      <c r="G96" s="86">
        <v>1</v>
      </c>
      <c r="H96" s="86">
        <v>1</v>
      </c>
      <c r="I96" s="86">
        <v>1</v>
      </c>
      <c r="J96" s="86">
        <v>1</v>
      </c>
      <c r="K96" s="86">
        <v>1</v>
      </c>
      <c r="L96" s="86">
        <v>1</v>
      </c>
      <c r="M96" s="86">
        <v>1</v>
      </c>
      <c r="N96" s="86">
        <v>1</v>
      </c>
    </row>
    <row r="97" spans="2:14" x14ac:dyDescent="0.2">
      <c r="B97" s="52">
        <v>0.33333333333333298</v>
      </c>
      <c r="C97" s="86">
        <v>1</v>
      </c>
      <c r="D97" s="86">
        <v>1</v>
      </c>
      <c r="E97" s="86">
        <v>1</v>
      </c>
      <c r="F97" s="86">
        <v>1</v>
      </c>
      <c r="G97" s="86">
        <v>1</v>
      </c>
      <c r="H97" s="86">
        <v>1</v>
      </c>
      <c r="I97" s="86">
        <v>1</v>
      </c>
      <c r="J97" s="86">
        <v>1</v>
      </c>
      <c r="K97" s="86">
        <v>1</v>
      </c>
      <c r="L97" s="86">
        <v>1</v>
      </c>
      <c r="M97" s="86">
        <v>1</v>
      </c>
      <c r="N97" s="86">
        <v>1</v>
      </c>
    </row>
    <row r="98" spans="2:14" x14ac:dyDescent="0.2">
      <c r="B98" s="52">
        <v>0.375</v>
      </c>
      <c r="C98" s="86">
        <v>1</v>
      </c>
      <c r="D98" s="86">
        <v>1</v>
      </c>
      <c r="E98" s="86">
        <v>1</v>
      </c>
      <c r="F98" s="86">
        <v>1</v>
      </c>
      <c r="G98" s="86">
        <v>1</v>
      </c>
      <c r="H98" s="86">
        <v>1</v>
      </c>
      <c r="I98" s="86">
        <v>1</v>
      </c>
      <c r="J98" s="86">
        <v>1</v>
      </c>
      <c r="K98" s="86">
        <v>1</v>
      </c>
      <c r="L98" s="86">
        <v>1</v>
      </c>
      <c r="M98" s="86">
        <v>1</v>
      </c>
      <c r="N98" s="86">
        <v>1</v>
      </c>
    </row>
    <row r="99" spans="2:14" x14ac:dyDescent="0.2">
      <c r="B99" s="52">
        <v>0.41666666666666702</v>
      </c>
      <c r="C99" s="86">
        <v>1</v>
      </c>
      <c r="D99" s="86">
        <v>1</v>
      </c>
      <c r="E99" s="86">
        <v>1</v>
      </c>
      <c r="F99" s="86">
        <v>1</v>
      </c>
      <c r="G99" s="86">
        <v>1</v>
      </c>
      <c r="H99" s="86">
        <v>1</v>
      </c>
      <c r="I99" s="86">
        <v>1</v>
      </c>
      <c r="J99" s="86">
        <v>1</v>
      </c>
      <c r="K99" s="86">
        <v>1</v>
      </c>
      <c r="L99" s="86">
        <v>1</v>
      </c>
      <c r="M99" s="86">
        <v>1</v>
      </c>
      <c r="N99" s="86">
        <v>1</v>
      </c>
    </row>
    <row r="100" spans="2:14" x14ac:dyDescent="0.2">
      <c r="B100" s="52">
        <v>0.45833333333333298</v>
      </c>
      <c r="C100" s="86">
        <v>1</v>
      </c>
      <c r="D100" s="86">
        <v>1</v>
      </c>
      <c r="E100" s="86">
        <v>1</v>
      </c>
      <c r="F100" s="86">
        <v>1</v>
      </c>
      <c r="G100" s="86">
        <v>1</v>
      </c>
      <c r="H100" s="86">
        <v>1</v>
      </c>
      <c r="I100" s="86">
        <v>1</v>
      </c>
      <c r="J100" s="86">
        <v>1</v>
      </c>
      <c r="K100" s="86">
        <v>1</v>
      </c>
      <c r="L100" s="86">
        <v>1</v>
      </c>
      <c r="M100" s="86">
        <v>1</v>
      </c>
      <c r="N100" s="86">
        <v>1</v>
      </c>
    </row>
    <row r="101" spans="2:14" x14ac:dyDescent="0.2">
      <c r="B101" s="52">
        <v>0.5</v>
      </c>
      <c r="C101" s="86">
        <v>1</v>
      </c>
      <c r="D101" s="86">
        <v>1</v>
      </c>
      <c r="E101" s="86">
        <v>1</v>
      </c>
      <c r="F101" s="86">
        <v>1</v>
      </c>
      <c r="G101" s="86">
        <v>1</v>
      </c>
      <c r="H101" s="86">
        <v>1</v>
      </c>
      <c r="I101" s="86">
        <v>1</v>
      </c>
      <c r="J101" s="86">
        <v>1</v>
      </c>
      <c r="K101" s="86">
        <v>1</v>
      </c>
      <c r="L101" s="86">
        <v>1</v>
      </c>
      <c r="M101" s="86">
        <v>1</v>
      </c>
      <c r="N101" s="86">
        <v>1</v>
      </c>
    </row>
    <row r="102" spans="2:14" x14ac:dyDescent="0.2">
      <c r="B102" s="52">
        <v>0.54166666666666696</v>
      </c>
      <c r="C102" s="86">
        <v>1</v>
      </c>
      <c r="D102" s="86">
        <v>1</v>
      </c>
      <c r="E102" s="86">
        <v>1</v>
      </c>
      <c r="F102" s="86">
        <v>1</v>
      </c>
      <c r="G102" s="86">
        <v>1</v>
      </c>
      <c r="H102" s="86">
        <v>1</v>
      </c>
      <c r="I102" s="86">
        <v>1</v>
      </c>
      <c r="J102" s="86">
        <v>1</v>
      </c>
      <c r="K102" s="86">
        <v>1</v>
      </c>
      <c r="L102" s="86">
        <v>1</v>
      </c>
      <c r="M102" s="86">
        <v>1</v>
      </c>
      <c r="N102" s="86">
        <v>1</v>
      </c>
    </row>
    <row r="103" spans="2:14" x14ac:dyDescent="0.2">
      <c r="B103" s="52">
        <v>0.58333333333333304</v>
      </c>
      <c r="C103" s="86">
        <v>1</v>
      </c>
      <c r="D103" s="86">
        <v>1</v>
      </c>
      <c r="E103" s="86">
        <v>1</v>
      </c>
      <c r="F103" s="86">
        <v>1</v>
      </c>
      <c r="G103" s="86">
        <v>1</v>
      </c>
      <c r="H103" s="86">
        <v>1</v>
      </c>
      <c r="I103" s="86">
        <v>1</v>
      </c>
      <c r="J103" s="86">
        <v>1</v>
      </c>
      <c r="K103" s="86">
        <v>1</v>
      </c>
      <c r="L103" s="86">
        <v>1</v>
      </c>
      <c r="M103" s="86">
        <v>1</v>
      </c>
      <c r="N103" s="86">
        <v>1</v>
      </c>
    </row>
    <row r="104" spans="2:14" x14ac:dyDescent="0.2">
      <c r="B104" s="52">
        <v>0.625</v>
      </c>
      <c r="C104" s="86">
        <v>1</v>
      </c>
      <c r="D104" s="86">
        <v>1</v>
      </c>
      <c r="E104" s="86">
        <v>1</v>
      </c>
      <c r="F104" s="86">
        <v>1</v>
      </c>
      <c r="G104" s="86">
        <v>1</v>
      </c>
      <c r="H104" s="86">
        <v>1</v>
      </c>
      <c r="I104" s="86">
        <v>1</v>
      </c>
      <c r="J104" s="86">
        <v>1</v>
      </c>
      <c r="K104" s="86">
        <v>1</v>
      </c>
      <c r="L104" s="86">
        <v>1</v>
      </c>
      <c r="M104" s="86">
        <v>1</v>
      </c>
      <c r="N104" s="86">
        <v>1</v>
      </c>
    </row>
    <row r="105" spans="2:14" x14ac:dyDescent="0.2">
      <c r="B105" s="52">
        <v>0.66666666666666696</v>
      </c>
      <c r="C105" s="86">
        <v>1</v>
      </c>
      <c r="D105" s="86">
        <v>1</v>
      </c>
      <c r="E105" s="86">
        <v>1</v>
      </c>
      <c r="F105" s="86">
        <v>1</v>
      </c>
      <c r="G105" s="86">
        <v>1</v>
      </c>
      <c r="H105" s="86">
        <v>1</v>
      </c>
      <c r="I105" s="86">
        <v>1</v>
      </c>
      <c r="J105" s="86">
        <v>1</v>
      </c>
      <c r="K105" s="86">
        <v>1</v>
      </c>
      <c r="L105" s="86">
        <v>1</v>
      </c>
      <c r="M105" s="86">
        <v>1</v>
      </c>
      <c r="N105" s="86">
        <v>1</v>
      </c>
    </row>
    <row r="106" spans="2:14" x14ac:dyDescent="0.2">
      <c r="B106" s="52">
        <v>0.70833333333333304</v>
      </c>
      <c r="C106" s="86">
        <v>1</v>
      </c>
      <c r="D106" s="86">
        <v>1</v>
      </c>
      <c r="E106" s="86">
        <v>1</v>
      </c>
      <c r="F106" s="86">
        <v>1</v>
      </c>
      <c r="G106" s="86">
        <v>1</v>
      </c>
      <c r="H106" s="86">
        <v>1</v>
      </c>
      <c r="I106" s="86">
        <v>1</v>
      </c>
      <c r="J106" s="86">
        <v>1</v>
      </c>
      <c r="K106" s="86">
        <v>1</v>
      </c>
      <c r="L106" s="86">
        <v>1</v>
      </c>
      <c r="M106" s="86">
        <v>1</v>
      </c>
      <c r="N106" s="86">
        <v>1</v>
      </c>
    </row>
    <row r="107" spans="2:14" x14ac:dyDescent="0.2">
      <c r="B107" s="52">
        <v>0.75</v>
      </c>
      <c r="C107" s="86">
        <v>0</v>
      </c>
      <c r="D107" s="86">
        <v>0</v>
      </c>
      <c r="E107" s="86">
        <v>1</v>
      </c>
      <c r="F107" s="86">
        <v>1</v>
      </c>
      <c r="G107" s="86">
        <v>1</v>
      </c>
      <c r="H107" s="86">
        <v>1</v>
      </c>
      <c r="I107" s="86">
        <v>1</v>
      </c>
      <c r="J107" s="86">
        <v>1</v>
      </c>
      <c r="K107" s="86">
        <v>1</v>
      </c>
      <c r="L107" s="86">
        <v>1</v>
      </c>
      <c r="M107" s="86">
        <v>0</v>
      </c>
      <c r="N107" s="86">
        <v>0</v>
      </c>
    </row>
    <row r="108" spans="2:14" x14ac:dyDescent="0.2">
      <c r="B108" s="52">
        <v>0.79166666666666696</v>
      </c>
      <c r="C108" s="86">
        <v>0</v>
      </c>
      <c r="D108" s="86">
        <v>0</v>
      </c>
      <c r="E108" s="86">
        <v>0</v>
      </c>
      <c r="F108" s="86">
        <v>1</v>
      </c>
      <c r="G108" s="86">
        <v>1</v>
      </c>
      <c r="H108" s="86">
        <v>1</v>
      </c>
      <c r="I108" s="86">
        <v>1</v>
      </c>
      <c r="J108" s="86">
        <v>1</v>
      </c>
      <c r="K108" s="86">
        <v>1</v>
      </c>
      <c r="L108" s="86">
        <v>0</v>
      </c>
      <c r="M108" s="86">
        <v>0</v>
      </c>
      <c r="N108" s="86">
        <v>0</v>
      </c>
    </row>
    <row r="109" spans="2:14" x14ac:dyDescent="0.2">
      <c r="B109" s="52">
        <v>0.83333333333333304</v>
      </c>
      <c r="C109" s="86">
        <v>0</v>
      </c>
      <c r="D109" s="86">
        <v>0</v>
      </c>
      <c r="E109" s="86">
        <v>0</v>
      </c>
      <c r="F109" s="86">
        <v>1</v>
      </c>
      <c r="G109" s="86">
        <v>1</v>
      </c>
      <c r="H109" s="86">
        <v>1</v>
      </c>
      <c r="I109" s="86">
        <v>1</v>
      </c>
      <c r="J109" s="86">
        <v>1</v>
      </c>
      <c r="K109" s="86">
        <v>1</v>
      </c>
      <c r="L109" s="86">
        <v>0</v>
      </c>
      <c r="M109" s="86">
        <v>0</v>
      </c>
      <c r="N109" s="86">
        <v>0</v>
      </c>
    </row>
    <row r="110" spans="2:14" x14ac:dyDescent="0.2">
      <c r="B110" s="52">
        <v>0.875</v>
      </c>
      <c r="C110" s="86">
        <v>0</v>
      </c>
      <c r="D110" s="86">
        <v>0</v>
      </c>
      <c r="E110" s="86">
        <v>0</v>
      </c>
      <c r="F110" s="86">
        <v>0</v>
      </c>
      <c r="G110" s="86">
        <v>0</v>
      </c>
      <c r="H110" s="86">
        <v>0</v>
      </c>
      <c r="I110" s="86">
        <v>0</v>
      </c>
      <c r="J110" s="86">
        <v>0</v>
      </c>
      <c r="K110" s="86">
        <v>0</v>
      </c>
      <c r="L110" s="86">
        <v>0</v>
      </c>
      <c r="M110" s="86">
        <v>0</v>
      </c>
      <c r="N110" s="86">
        <v>0</v>
      </c>
    </row>
    <row r="111" spans="2:14" x14ac:dyDescent="0.2">
      <c r="B111" s="52">
        <v>0.91666666666666696</v>
      </c>
      <c r="C111" s="86">
        <v>0</v>
      </c>
      <c r="D111" s="86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0</v>
      </c>
      <c r="K111" s="86">
        <v>0</v>
      </c>
      <c r="L111" s="86">
        <v>0</v>
      </c>
      <c r="M111" s="86">
        <v>0</v>
      </c>
      <c r="N111" s="86">
        <v>0</v>
      </c>
    </row>
    <row r="112" spans="2:14" x14ac:dyDescent="0.2">
      <c r="B112" s="52">
        <v>0.95833333333333304</v>
      </c>
      <c r="C112" s="86">
        <v>0</v>
      </c>
      <c r="D112" s="86">
        <v>0</v>
      </c>
      <c r="E112" s="86">
        <v>0</v>
      </c>
      <c r="F112" s="86">
        <v>0</v>
      </c>
      <c r="G112" s="86">
        <v>0</v>
      </c>
      <c r="H112" s="86">
        <v>0</v>
      </c>
      <c r="I112" s="86">
        <v>0</v>
      </c>
      <c r="J112" s="86">
        <v>0</v>
      </c>
      <c r="K112" s="86">
        <v>0</v>
      </c>
      <c r="L112" s="86">
        <v>0</v>
      </c>
      <c r="M112" s="86">
        <v>0</v>
      </c>
      <c r="N112" s="86">
        <v>0</v>
      </c>
    </row>
    <row r="113" spans="3:14" x14ac:dyDescent="0.2">
      <c r="C113" s="50">
        <f>SUM(C89:C112)</f>
        <v>11</v>
      </c>
      <c r="D113" s="62">
        <f t="shared" ref="D113:G113" si="13">SUM(D89:D112)</f>
        <v>11</v>
      </c>
      <c r="E113" s="62">
        <f t="shared" si="13"/>
        <v>14</v>
      </c>
      <c r="F113" s="62">
        <f t="shared" si="13"/>
        <v>17</v>
      </c>
      <c r="G113" s="62">
        <f t="shared" si="13"/>
        <v>18</v>
      </c>
      <c r="H113" s="62">
        <f t="shared" ref="H113" si="14">SUM(H89:H112)</f>
        <v>18</v>
      </c>
      <c r="I113" s="62">
        <f t="shared" ref="I113" si="15">SUM(I89:I112)</f>
        <v>18</v>
      </c>
      <c r="J113" s="62">
        <f t="shared" ref="J113:K113" si="16">SUM(J89:J112)</f>
        <v>18</v>
      </c>
      <c r="K113" s="62">
        <f t="shared" si="16"/>
        <v>17</v>
      </c>
      <c r="L113" s="62">
        <f t="shared" ref="L113" si="17">SUM(L89:L112)</f>
        <v>14</v>
      </c>
      <c r="M113" s="62">
        <f t="shared" ref="M113" si="18">SUM(M89:M112)</f>
        <v>11</v>
      </c>
      <c r="N113" s="62">
        <f t="shared" ref="N113" si="19">SUM(N89:N112)</f>
        <v>11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E19" sqref="E19"/>
    </sheetView>
  </sheetViews>
  <sheetFormatPr defaultRowHeight="12.75" x14ac:dyDescent="0.2"/>
  <cols>
    <col min="1" max="1" width="9.5" style="61" bestFit="1" customWidth="1"/>
    <col min="2" max="2" width="9.6640625" style="61" bestFit="1" customWidth="1"/>
    <col min="3" max="3" width="9.33203125" style="10"/>
    <col min="4" max="4" width="11.6640625" style="61" customWidth="1"/>
    <col min="5" max="5" width="9.6640625" style="61" bestFit="1" customWidth="1"/>
    <col min="6" max="7" width="9.33203125" style="10"/>
  </cols>
  <sheetData>
    <row r="1" spans="1:7" x14ac:dyDescent="0.2">
      <c r="A1" s="61" t="s">
        <v>93</v>
      </c>
      <c r="D1" s="61" t="s">
        <v>94</v>
      </c>
    </row>
    <row r="2" spans="1:7" x14ac:dyDescent="0.2">
      <c r="A2" s="63">
        <v>438232</v>
      </c>
      <c r="B2" s="63">
        <v>3697886.6</v>
      </c>
      <c r="C2" s="10">
        <f>+((A2-A3)^2+(B2-B3)^2)^0.5</f>
        <v>26.060001918705083</v>
      </c>
      <c r="D2" s="63">
        <v>438232</v>
      </c>
      <c r="E2" s="63">
        <v>3697886.6</v>
      </c>
      <c r="F2" s="10">
        <f>+((D2-D3)^2+(E2-E3)^2)^0.5</f>
        <v>26.060001918705083</v>
      </c>
    </row>
    <row r="3" spans="1:7" x14ac:dyDescent="0.2">
      <c r="A3" s="69">
        <v>438232.01</v>
      </c>
      <c r="B3" s="69">
        <v>3697912.66</v>
      </c>
      <c r="C3" s="10">
        <f t="shared" ref="C3:C10" si="0">+((A3-A4)^2+(B3-B4)^2)^0.5</f>
        <v>32.190970783690297</v>
      </c>
      <c r="D3" s="69">
        <v>438232.01</v>
      </c>
      <c r="E3" s="69">
        <v>3697912.66</v>
      </c>
      <c r="F3" s="10">
        <f t="shared" ref="F3:F13" si="1">+((D3-D4)^2+(E3-E4)^2)^0.5</f>
        <v>49.280175527259395</v>
      </c>
    </row>
    <row r="4" spans="1:7" x14ac:dyDescent="0.2">
      <c r="A4" s="69">
        <v>438232.26</v>
      </c>
      <c r="B4" s="69">
        <v>3697944.85</v>
      </c>
      <c r="C4" s="10">
        <f t="shared" si="0"/>
        <v>6.8869804704445752</v>
      </c>
      <c r="D4" s="63">
        <v>438281</v>
      </c>
      <c r="E4" s="63">
        <v>3697918</v>
      </c>
      <c r="F4" s="10">
        <f t="shared" si="1"/>
        <v>9.8994949366116654</v>
      </c>
    </row>
    <row r="5" spans="1:7" x14ac:dyDescent="0.2">
      <c r="A5" s="63">
        <v>438228.5</v>
      </c>
      <c r="B5" s="63">
        <v>3697950.62</v>
      </c>
      <c r="C5" s="10">
        <f t="shared" si="0"/>
        <v>41.525982228010456</v>
      </c>
      <c r="D5" s="63">
        <v>438288</v>
      </c>
      <c r="E5" s="63">
        <v>3697925</v>
      </c>
      <c r="F5" s="10">
        <f t="shared" si="1"/>
        <v>66.370174024180471</v>
      </c>
    </row>
    <row r="6" spans="1:7" x14ac:dyDescent="0.2">
      <c r="A6" s="63">
        <v>438187.04</v>
      </c>
      <c r="B6" s="63">
        <v>3697952.96</v>
      </c>
      <c r="C6" s="10">
        <f t="shared" si="0"/>
        <v>29.299027287586092</v>
      </c>
      <c r="D6" s="73">
        <v>438281</v>
      </c>
      <c r="E6" s="73">
        <v>3697991</v>
      </c>
      <c r="F6" s="10">
        <f t="shared" si="1"/>
        <v>9.2195444572928871</v>
      </c>
    </row>
    <row r="7" spans="1:7" x14ac:dyDescent="0.2">
      <c r="A7" s="73">
        <v>438185.03</v>
      </c>
      <c r="B7" s="73">
        <v>3697923.73</v>
      </c>
      <c r="C7" s="10">
        <f t="shared" si="0"/>
        <v>4.7166619553391964</v>
      </c>
      <c r="D7" s="69">
        <v>438274</v>
      </c>
      <c r="E7" s="69">
        <v>3697997</v>
      </c>
      <c r="F7" s="10">
        <f t="shared" si="1"/>
        <v>76.006578662639456</v>
      </c>
    </row>
    <row r="8" spans="1:7" x14ac:dyDescent="0.2">
      <c r="A8" s="69">
        <v>438185.98</v>
      </c>
      <c r="B8" s="69">
        <v>3697919.11</v>
      </c>
      <c r="C8" s="10">
        <f t="shared" si="0"/>
        <v>7.9827626794770241</v>
      </c>
      <c r="D8" s="69">
        <v>438198</v>
      </c>
      <c r="E8" s="69">
        <v>3697996</v>
      </c>
      <c r="F8" s="10">
        <f t="shared" si="1"/>
        <v>10.816653826391969</v>
      </c>
    </row>
    <row r="9" spans="1:7" x14ac:dyDescent="0.2">
      <c r="A9" s="69">
        <v>438192.49</v>
      </c>
      <c r="B9" s="69">
        <v>3697914.49</v>
      </c>
      <c r="C9" s="10">
        <f t="shared" si="0"/>
        <v>39.562346998146417</v>
      </c>
      <c r="D9" s="69">
        <v>438189</v>
      </c>
      <c r="E9" s="69">
        <v>3697990</v>
      </c>
      <c r="F9" s="10">
        <f t="shared" si="1"/>
        <v>66.388807791692173</v>
      </c>
    </row>
    <row r="10" spans="1:7" x14ac:dyDescent="0.2">
      <c r="A10" s="69">
        <v>438232.01</v>
      </c>
      <c r="B10" s="69">
        <v>3697912.66</v>
      </c>
      <c r="C10" s="10">
        <f t="shared" si="0"/>
        <v>26.060001918705083</v>
      </c>
      <c r="D10" s="73">
        <v>438185.03</v>
      </c>
      <c r="E10" s="73">
        <v>3697923.73</v>
      </c>
      <c r="F10" s="10">
        <f t="shared" si="1"/>
        <v>4.7166619553391964</v>
      </c>
    </row>
    <row r="11" spans="1:7" x14ac:dyDescent="0.2">
      <c r="A11" s="63">
        <v>438232</v>
      </c>
      <c r="B11" s="63">
        <v>3697886.6</v>
      </c>
      <c r="D11" s="69">
        <v>438185.98</v>
      </c>
      <c r="E11" s="69">
        <v>3697919.11</v>
      </c>
      <c r="F11" s="10">
        <f t="shared" si="1"/>
        <v>7.9827626794770241</v>
      </c>
    </row>
    <row r="12" spans="1:7" x14ac:dyDescent="0.2">
      <c r="A12" s="69"/>
      <c r="B12" s="69"/>
      <c r="D12" s="69">
        <v>438192.49</v>
      </c>
      <c r="E12" s="69">
        <v>3697914.49</v>
      </c>
      <c r="F12" s="10">
        <f t="shared" si="1"/>
        <v>39.562346998146417</v>
      </c>
    </row>
    <row r="13" spans="1:7" x14ac:dyDescent="0.2">
      <c r="A13" s="69"/>
      <c r="B13" s="69"/>
      <c r="D13" s="69">
        <v>438232.01</v>
      </c>
      <c r="E13" s="69">
        <v>3697912.66</v>
      </c>
      <c r="F13" s="10">
        <f t="shared" si="1"/>
        <v>26.060001918705083</v>
      </c>
    </row>
    <row r="14" spans="1:7" x14ac:dyDescent="0.2">
      <c r="A14" s="73"/>
      <c r="B14" s="73"/>
      <c r="D14" s="63">
        <v>438232</v>
      </c>
      <c r="E14" s="63">
        <v>3697886.6</v>
      </c>
    </row>
    <row r="15" spans="1:7" x14ac:dyDescent="0.2">
      <c r="A15" s="69"/>
      <c r="B15" s="69"/>
      <c r="D15" s="69"/>
      <c r="E15" s="69"/>
      <c r="F15" s="10">
        <f>SUM(F2:F14)</f>
        <v>392.3632046964409</v>
      </c>
      <c r="G15" s="10" t="s">
        <v>226</v>
      </c>
    </row>
    <row r="16" spans="1:7" x14ac:dyDescent="0.2">
      <c r="A16" s="63"/>
      <c r="B16" s="63"/>
    </row>
    <row r="17" spans="3:4" x14ac:dyDescent="0.2">
      <c r="C17" s="10">
        <f>SUM(C2:C15)</f>
        <v>214.28473624010422</v>
      </c>
      <c r="D17" s="10" t="s">
        <v>226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Material Handling</vt:lpstr>
      <vt:lpstr>Heater</vt:lpstr>
      <vt:lpstr>Total</vt:lpstr>
      <vt:lpstr>Hours</vt:lpstr>
      <vt:lpstr>Road Length</vt:lpstr>
      <vt:lpstr>agg</vt:lpstr>
      <vt:lpstr>cuydday</vt:lpstr>
      <vt:lpstr>cuydhr</vt:lpstr>
      <vt:lpstr>cuydyr</vt:lpstr>
      <vt:lpstr>Heater!Print_Area</vt:lpstr>
      <vt:lpstr>'Material Handling'!Print_Area</vt:lpstr>
      <vt:lpstr>Total!Print_Area</vt:lpstr>
      <vt:lpstr>sand</vt:lpstr>
      <vt:lpstr>unhrsyr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Wade</dc:creator>
  <cp:lastModifiedBy>Paul Wade</cp:lastModifiedBy>
  <cp:lastPrinted>2022-01-12T21:49:00Z</cp:lastPrinted>
  <dcterms:created xsi:type="dcterms:W3CDTF">2003-11-03T18:02:33Z</dcterms:created>
  <dcterms:modified xsi:type="dcterms:W3CDTF">2022-01-12T21:57:21Z</dcterms:modified>
</cp:coreProperties>
</file>