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My Documents\Roper Construction\Application\Final\revised\V9\"/>
    </mc:Choice>
  </mc:AlternateContent>
  <xr:revisionPtr revIDLastSave="0" documentId="13_ncr:1_{26EAEB38-4659-4BB7-AA8F-E530D6C53258}" xr6:coauthVersionLast="36" xr6:coauthVersionMax="36" xr10:uidLastSave="{00000000-0000-0000-0000-000000000000}"/>
  <bookViews>
    <workbookView xWindow="-120" yWindow="-120" windowWidth="24240" windowHeight="13140" activeTab="2" xr2:uid="{00000000-000D-0000-FFFF-FFFF00000000}"/>
  </bookViews>
  <sheets>
    <sheet name="Material Handling" sheetId="1" r:id="rId1"/>
    <sheet name="Heater" sheetId="5" r:id="rId2"/>
    <sheet name="Total" sheetId="4" r:id="rId3"/>
    <sheet name="Hours" sheetId="7" r:id="rId4"/>
    <sheet name="Road Length" sheetId="8" r:id="rId5"/>
    <sheet name="Sheet1" sheetId="12" r:id="rId6"/>
    <sheet name="Sheet2" sheetId="13" r:id="rId7"/>
  </sheets>
  <externalReferences>
    <externalReference r:id="rId8"/>
  </externalReferences>
  <definedNames>
    <definedName name="agg">'Material Handling'!$C$4</definedName>
    <definedName name="area">'Material Handling'!#REF!</definedName>
    <definedName name="cuydday">'Material Handling'!$D$11</definedName>
    <definedName name="cuydhr">'Material Handling'!$D$10</definedName>
    <definedName name="cuydyr">'Material Handling'!$D$12</definedName>
    <definedName name="Hour_for_model">#REF!</definedName>
    <definedName name="hrsday">'Material Handling'!#REF!</definedName>
    <definedName name="hrsyr">'Material Handling'!#REF!</definedName>
    <definedName name="main_engine_hrs">'[1]Material Handling'!$D$11</definedName>
    <definedName name="_xlnm.Print_Area" localSheetId="1">Heater!$A$1:$H$31</definedName>
    <definedName name="_xlnm.Print_Area" localSheetId="0">'Material Handling'!$A$1:$K$300</definedName>
    <definedName name="_xlnm.Print_Area" localSheetId="2">Total!$A$1:$P$30</definedName>
    <definedName name="sand">'Material Handling'!$C$5</definedName>
    <definedName name="speed">'Material Handling'!#REF!</definedName>
    <definedName name="unhrsyr">'Material Handling'!$D$14</definedName>
  </definedNames>
  <calcPr calcId="191029"/>
</workbook>
</file>

<file path=xl/calcChain.xml><?xml version="1.0" encoding="utf-8"?>
<calcChain xmlns="http://schemas.openxmlformats.org/spreadsheetml/2006/main">
  <c r="H298" i="1" l="1"/>
  <c r="H291" i="1"/>
  <c r="D266" i="1" l="1"/>
  <c r="F5" i="1" l="1"/>
  <c r="P4" i="4" l="1"/>
  <c r="O4" i="4"/>
  <c r="N4" i="4"/>
  <c r="M4" i="4"/>
  <c r="L4" i="4"/>
  <c r="K4" i="4"/>
  <c r="D300" i="1"/>
  <c r="D296" i="1"/>
  <c r="F296" i="1" s="1"/>
  <c r="D297" i="1"/>
  <c r="F297" i="1" s="1"/>
  <c r="D298" i="1"/>
  <c r="F298" i="1" s="1"/>
  <c r="D299" i="1"/>
  <c r="D295" i="1"/>
  <c r="F299" i="1"/>
  <c r="F292" i="1"/>
  <c r="F291" i="1"/>
  <c r="F290" i="1"/>
  <c r="F289" i="1"/>
  <c r="F288" i="1"/>
  <c r="F293" i="1" s="1"/>
  <c r="D293" i="1"/>
  <c r="D289" i="1"/>
  <c r="D290" i="1"/>
  <c r="D291" i="1"/>
  <c r="D292" i="1"/>
  <c r="D288" i="1"/>
  <c r="H288" i="1"/>
  <c r="F286" i="1"/>
  <c r="F282" i="1"/>
  <c r="F283" i="1"/>
  <c r="F284" i="1"/>
  <c r="F285" i="1"/>
  <c r="F281" i="1"/>
  <c r="D286" i="1"/>
  <c r="D282" i="1"/>
  <c r="D283" i="1"/>
  <c r="D284" i="1"/>
  <c r="D285" i="1"/>
  <c r="D281" i="1"/>
  <c r="F295" i="1" l="1"/>
  <c r="F300" i="1" s="1"/>
  <c r="O28" i="7"/>
  <c r="D277" i="1" l="1"/>
  <c r="C57" i="7" l="1"/>
  <c r="D57" i="7"/>
  <c r="E57" i="7"/>
  <c r="F57" i="7"/>
  <c r="G57" i="7"/>
  <c r="H57" i="7"/>
  <c r="I57" i="7"/>
  <c r="J57" i="7"/>
  <c r="K57" i="7"/>
  <c r="L57" i="7"/>
  <c r="M57" i="7"/>
  <c r="N57" i="7"/>
  <c r="N141" i="7"/>
  <c r="M141" i="7"/>
  <c r="L141" i="7"/>
  <c r="K141" i="7"/>
  <c r="J141" i="7"/>
  <c r="I141" i="7"/>
  <c r="H141" i="7"/>
  <c r="G141" i="7"/>
  <c r="F141" i="7"/>
  <c r="E141" i="7"/>
  <c r="D141" i="7"/>
  <c r="C141" i="7"/>
  <c r="F3" i="8" l="1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C3" i="8" l="1"/>
  <c r="N113" i="7" l="1"/>
  <c r="M113" i="7"/>
  <c r="L113" i="7"/>
  <c r="K113" i="7"/>
  <c r="J113" i="7"/>
  <c r="I113" i="7"/>
  <c r="H113" i="7"/>
  <c r="G113" i="7"/>
  <c r="F113" i="7"/>
  <c r="E113" i="7"/>
  <c r="D113" i="7"/>
  <c r="C113" i="7"/>
  <c r="G27" i="7"/>
  <c r="H27" i="7"/>
  <c r="I27" i="7"/>
  <c r="J27" i="7"/>
  <c r="K27" i="7"/>
  <c r="F8" i="1" l="1"/>
  <c r="D8" i="1"/>
  <c r="H255" i="1" l="1"/>
  <c r="D255" i="1" s="1"/>
  <c r="H261" i="1"/>
  <c r="D261" i="1" s="1"/>
  <c r="H260" i="1"/>
  <c r="D260" i="1" s="1"/>
  <c r="H259" i="1"/>
  <c r="D259" i="1" s="1"/>
  <c r="H262" i="1"/>
  <c r="D262" i="1" s="1"/>
  <c r="H254" i="1"/>
  <c r="D254" i="1" s="1"/>
  <c r="D13" i="1" l="1"/>
  <c r="G8" i="1" l="1"/>
  <c r="H263" i="1" s="1"/>
  <c r="D263" i="1" s="1"/>
  <c r="D264" i="1" s="1"/>
  <c r="C168" i="1"/>
  <c r="C58" i="1" l="1"/>
  <c r="F89" i="1" l="1"/>
  <c r="F110" i="1"/>
  <c r="F131" i="1"/>
  <c r="C146" i="1"/>
  <c r="C157" i="1" s="1"/>
  <c r="C38" i="1"/>
  <c r="C18" i="1"/>
  <c r="B6" i="5" l="1"/>
  <c r="B31" i="5" s="1"/>
  <c r="D31" i="5" s="1"/>
  <c r="B28" i="5"/>
  <c r="D28" i="5" s="1"/>
  <c r="B27" i="5"/>
  <c r="D27" i="5" s="1"/>
  <c r="B23" i="5"/>
  <c r="D23" i="5" s="1"/>
  <c r="B22" i="5"/>
  <c r="D22" i="5" s="1"/>
  <c r="B21" i="5"/>
  <c r="D21" i="5" s="1"/>
  <c r="B20" i="5"/>
  <c r="D20" i="5" s="1"/>
  <c r="B19" i="5" l="1"/>
  <c r="D19" i="5" s="1"/>
  <c r="B29" i="5"/>
  <c r="D29" i="5" s="1"/>
  <c r="B30" i="5"/>
  <c r="D30" i="5" s="1"/>
  <c r="C2" i="8" l="1"/>
  <c r="C17" i="8" l="1"/>
  <c r="D248" i="1" l="1"/>
  <c r="G248" i="1" s="1"/>
  <c r="D246" i="1"/>
  <c r="D245" i="1"/>
  <c r="B210" i="1"/>
  <c r="B188" i="1"/>
  <c r="B166" i="1"/>
  <c r="G246" i="1" l="1"/>
  <c r="I267" i="1" s="1"/>
  <c r="G245" i="1"/>
  <c r="I266" i="1" s="1"/>
  <c r="D269" i="1"/>
  <c r="I269" i="1"/>
  <c r="D270" i="1"/>
  <c r="I270" i="1"/>
  <c r="E212" i="1"/>
  <c r="D224" i="1" s="1"/>
  <c r="E190" i="1"/>
  <c r="D202" i="1" s="1"/>
  <c r="C212" i="1"/>
  <c r="C223" i="1" s="1"/>
  <c r="K27" i="4" s="1"/>
  <c r="E168" i="1"/>
  <c r="D180" i="1" s="1"/>
  <c r="D181" i="1" s="1"/>
  <c r="C172" i="1"/>
  <c r="E146" i="1"/>
  <c r="D158" i="1" s="1"/>
  <c r="B144" i="1"/>
  <c r="J281" i="1" l="1"/>
  <c r="J288" i="1"/>
  <c r="J295" i="1"/>
  <c r="J282" i="1"/>
  <c r="J289" i="1"/>
  <c r="J296" i="1"/>
  <c r="J292" i="1"/>
  <c r="J299" i="1"/>
  <c r="J285" i="1"/>
  <c r="J284" i="1"/>
  <c r="J298" i="1"/>
  <c r="J291" i="1"/>
  <c r="H285" i="1"/>
  <c r="H292" i="1"/>
  <c r="F270" i="1"/>
  <c r="H299" i="1"/>
  <c r="H284" i="1"/>
  <c r="F269" i="1"/>
  <c r="N25" i="4"/>
  <c r="D159" i="1"/>
  <c r="P25" i="4" s="1"/>
  <c r="N26" i="4"/>
  <c r="D203" i="1"/>
  <c r="P26" i="4" s="1"/>
  <c r="N27" i="4"/>
  <c r="D225" i="1"/>
  <c r="P27" i="4" s="1"/>
  <c r="C150" i="1"/>
  <c r="M9" i="4" s="1"/>
  <c r="C158" i="1"/>
  <c r="C159" i="1" s="1"/>
  <c r="D179" i="1"/>
  <c r="D157" i="1"/>
  <c r="D172" i="1"/>
  <c r="N10" i="4" s="1"/>
  <c r="M10" i="4"/>
  <c r="C171" i="1"/>
  <c r="K10" i="4" s="1"/>
  <c r="C179" i="1"/>
  <c r="C180" i="1"/>
  <c r="C181" i="1" s="1"/>
  <c r="C224" i="1"/>
  <c r="D201" i="1"/>
  <c r="L26" i="4" s="1"/>
  <c r="D223" i="1"/>
  <c r="L27" i="4" s="1"/>
  <c r="C173" i="1"/>
  <c r="C217" i="1"/>
  <c r="C151" i="1"/>
  <c r="C149" i="1"/>
  <c r="C216" i="1"/>
  <c r="O12" i="4" s="1"/>
  <c r="C215" i="1"/>
  <c r="L25" i="4" l="1"/>
  <c r="D150" i="1"/>
  <c r="N9" i="4" s="1"/>
  <c r="D171" i="1"/>
  <c r="L10" i="4" s="1"/>
  <c r="O25" i="4"/>
  <c r="M27" i="4"/>
  <c r="C225" i="1"/>
  <c r="O27" i="4" s="1"/>
  <c r="M25" i="4"/>
  <c r="K25" i="4"/>
  <c r="D149" i="1"/>
  <c r="L9" i="4" s="1"/>
  <c r="K9" i="4"/>
  <c r="D173" i="1"/>
  <c r="P10" i="4" s="1"/>
  <c r="O10" i="4"/>
  <c r="K12" i="4"/>
  <c r="M12" i="4"/>
  <c r="D151" i="1"/>
  <c r="P9" i="4" s="1"/>
  <c r="O9" i="4"/>
  <c r="D215" i="1"/>
  <c r="D216" i="1"/>
  <c r="P12" i="4" s="1"/>
  <c r="D217" i="1"/>
  <c r="N12" i="4" l="1"/>
  <c r="L12" i="4"/>
  <c r="D3" i="1" l="1"/>
  <c r="E3" i="1" l="1"/>
  <c r="C102" i="1"/>
  <c r="C81" i="1"/>
  <c r="C99" i="1" l="1"/>
  <c r="E18" i="1"/>
  <c r="C29" i="1" l="1"/>
  <c r="C33" i="1"/>
  <c r="E32" i="1"/>
  <c r="C28" i="1"/>
  <c r="C32" i="1"/>
  <c r="C27" i="1"/>
  <c r="E34" i="1"/>
  <c r="C34" i="1"/>
  <c r="E33" i="1"/>
  <c r="C54" i="1"/>
  <c r="C48" i="1"/>
  <c r="C53" i="1"/>
  <c r="C47" i="1"/>
  <c r="C52" i="1"/>
  <c r="C49" i="1"/>
  <c r="C114" i="1"/>
  <c r="C115" i="1"/>
  <c r="C116" i="1"/>
  <c r="C107" i="1"/>
  <c r="D107" i="1" s="1"/>
  <c r="C105" i="1"/>
  <c r="D105" i="1" s="1"/>
  <c r="C106" i="1"/>
  <c r="D106" i="1" s="1"/>
  <c r="M28" i="4" l="1"/>
  <c r="O28" i="4"/>
  <c r="K28" i="4"/>
  <c r="D85" i="7"/>
  <c r="E85" i="7"/>
  <c r="F85" i="7"/>
  <c r="G85" i="7"/>
  <c r="H85" i="7"/>
  <c r="I85" i="7"/>
  <c r="J85" i="7"/>
  <c r="K85" i="7"/>
  <c r="L85" i="7"/>
  <c r="M85" i="7"/>
  <c r="N85" i="7"/>
  <c r="F2" i="8"/>
  <c r="F24" i="8" s="1"/>
  <c r="L27" i="7" l="1"/>
  <c r="M27" i="7"/>
  <c r="N27" i="7"/>
  <c r="G168" i="7"/>
  <c r="H168" i="7"/>
  <c r="I168" i="7"/>
  <c r="J168" i="7"/>
  <c r="K168" i="7"/>
  <c r="L168" i="7"/>
  <c r="M168" i="7"/>
  <c r="N168" i="7"/>
  <c r="D168" i="7"/>
  <c r="E168" i="7"/>
  <c r="F168" i="7"/>
  <c r="D27" i="7"/>
  <c r="E27" i="7"/>
  <c r="F27" i="7"/>
  <c r="D247" i="1" l="1"/>
  <c r="G247" i="1" s="1"/>
  <c r="I268" i="1" s="1"/>
  <c r="J297" i="1" s="1"/>
  <c r="J300" i="1" s="1"/>
  <c r="D249" i="1"/>
  <c r="G249" i="1" s="1"/>
  <c r="M28" i="7"/>
  <c r="M30" i="7" s="1"/>
  <c r="M29" i="7"/>
  <c r="L28" i="7"/>
  <c r="L30" i="7" s="1"/>
  <c r="L29" i="7"/>
  <c r="K28" i="7"/>
  <c r="K30" i="7" s="1"/>
  <c r="K29" i="7"/>
  <c r="J29" i="7"/>
  <c r="J28" i="7"/>
  <c r="J30" i="7" s="1"/>
  <c r="I29" i="7"/>
  <c r="I28" i="7"/>
  <c r="I30" i="7" s="1"/>
  <c r="H29" i="7"/>
  <c r="H28" i="7"/>
  <c r="H30" i="7" s="1"/>
  <c r="G29" i="7"/>
  <c r="G28" i="7"/>
  <c r="G30" i="7" s="1"/>
  <c r="F29" i="7"/>
  <c r="F28" i="7"/>
  <c r="F30" i="7" s="1"/>
  <c r="E29" i="7"/>
  <c r="E28" i="7"/>
  <c r="E30" i="7" s="1"/>
  <c r="N28" i="7"/>
  <c r="N30" i="7" s="1"/>
  <c r="N29" i="7"/>
  <c r="D28" i="7"/>
  <c r="D30" i="7" s="1"/>
  <c r="D29" i="7"/>
  <c r="P20" i="4" l="1"/>
  <c r="I271" i="1"/>
  <c r="J283" i="1"/>
  <c r="J286" i="1" s="1"/>
  <c r="J290" i="1"/>
  <c r="J293" i="1" s="1"/>
  <c r="C168" i="7"/>
  <c r="C85" i="7"/>
  <c r="C27" i="7"/>
  <c r="L20" i="4" l="1"/>
  <c r="N20" i="4"/>
  <c r="C28" i="7"/>
  <c r="C29" i="7"/>
  <c r="C30" i="7" l="1"/>
  <c r="O30" i="7" l="1"/>
  <c r="P30" i="7" s="1"/>
  <c r="D27" i="1"/>
  <c r="D7" i="1"/>
  <c r="H252" i="1" s="1"/>
  <c r="D252" i="1" s="1"/>
  <c r="D267" i="1" s="1"/>
  <c r="D6" i="1"/>
  <c r="D5" i="1"/>
  <c r="D4" i="1"/>
  <c r="AA135" i="7" l="1"/>
  <c r="Z134" i="7"/>
  <c r="AB133" i="7"/>
  <c r="T133" i="7"/>
  <c r="X132" i="7"/>
  <c r="AB131" i="7"/>
  <c r="T131" i="7"/>
  <c r="X130" i="7"/>
  <c r="AB129" i="7"/>
  <c r="AB106" i="7"/>
  <c r="X105" i="7"/>
  <c r="AB104" i="7"/>
  <c r="T104" i="7"/>
  <c r="X103" i="7"/>
  <c r="AB102" i="7"/>
  <c r="T102" i="7"/>
  <c r="X101" i="7"/>
  <c r="AA100" i="7"/>
  <c r="AD77" i="7"/>
  <c r="T76" i="7"/>
  <c r="X75" i="7"/>
  <c r="AB74" i="7"/>
  <c r="T74" i="7"/>
  <c r="X73" i="7"/>
  <c r="AB72" i="7"/>
  <c r="T72" i="7"/>
  <c r="V71" i="7"/>
  <c r="AD47" i="7"/>
  <c r="T46" i="7"/>
  <c r="X45" i="7"/>
  <c r="AB44" i="7"/>
  <c r="T44" i="7"/>
  <c r="X43" i="7"/>
  <c r="AB42" i="7"/>
  <c r="T42" i="7"/>
  <c r="V41" i="7"/>
  <c r="AD15" i="7"/>
  <c r="T14" i="7"/>
  <c r="X13" i="7"/>
  <c r="AB12" i="7"/>
  <c r="T12" i="7"/>
  <c r="X11" i="7"/>
  <c r="AB10" i="7"/>
  <c r="T10" i="7"/>
  <c r="V9" i="7"/>
  <c r="Y40" i="7"/>
  <c r="Y8" i="7"/>
  <c r="V133" i="7"/>
  <c r="AB76" i="7"/>
  <c r="Z45" i="7"/>
  <c r="AD12" i="7"/>
  <c r="W8" i="7"/>
  <c r="Z135" i="7"/>
  <c r="Y134" i="7"/>
  <c r="AA133" i="7"/>
  <c r="S133" i="7"/>
  <c r="W132" i="7"/>
  <c r="AA131" i="7"/>
  <c r="S131" i="7"/>
  <c r="W130" i="7"/>
  <c r="U129" i="7"/>
  <c r="U106" i="7"/>
  <c r="W105" i="7"/>
  <c r="AA104" i="7"/>
  <c r="S104" i="7"/>
  <c r="W103" i="7"/>
  <c r="AA102" i="7"/>
  <c r="S102" i="7"/>
  <c r="W101" i="7"/>
  <c r="Z100" i="7"/>
  <c r="AC77" i="7"/>
  <c r="S76" i="7"/>
  <c r="W75" i="7"/>
  <c r="AA74" i="7"/>
  <c r="S74" i="7"/>
  <c r="W73" i="7"/>
  <c r="AA72" i="7"/>
  <c r="S72" i="7"/>
  <c r="U71" i="7"/>
  <c r="AC47" i="7"/>
  <c r="S46" i="7"/>
  <c r="W45" i="7"/>
  <c r="AA44" i="7"/>
  <c r="S44" i="7"/>
  <c r="W43" i="7"/>
  <c r="AA42" i="7"/>
  <c r="S42" i="7"/>
  <c r="U41" i="7"/>
  <c r="AC15" i="7"/>
  <c r="S14" i="7"/>
  <c r="W13" i="7"/>
  <c r="AA12" i="7"/>
  <c r="S12" i="7"/>
  <c r="W11" i="7"/>
  <c r="AA10" i="7"/>
  <c r="S10" i="7"/>
  <c r="U9" i="7"/>
  <c r="AA8" i="7"/>
  <c r="AB13" i="7"/>
  <c r="T11" i="7"/>
  <c r="AB134" i="7"/>
  <c r="AD74" i="7"/>
  <c r="AD44" i="7"/>
  <c r="Z11" i="7"/>
  <c r="Y135" i="7"/>
  <c r="X134" i="7"/>
  <c r="Z133" i="7"/>
  <c r="AD132" i="7"/>
  <c r="V132" i="7"/>
  <c r="Z131" i="7"/>
  <c r="AD130" i="7"/>
  <c r="V130" i="7"/>
  <c r="T129" i="7"/>
  <c r="AD105" i="7"/>
  <c r="V105" i="7"/>
  <c r="Z104" i="7"/>
  <c r="AD103" i="7"/>
  <c r="V103" i="7"/>
  <c r="Z102" i="7"/>
  <c r="AD101" i="7"/>
  <c r="V101" i="7"/>
  <c r="Y100" i="7"/>
  <c r="T77" i="7"/>
  <c r="AD75" i="7"/>
  <c r="V75" i="7"/>
  <c r="Z74" i="7"/>
  <c r="AD73" i="7"/>
  <c r="V73" i="7"/>
  <c r="Z72" i="7"/>
  <c r="AB71" i="7"/>
  <c r="AA70" i="7"/>
  <c r="T47" i="7"/>
  <c r="AD45" i="7"/>
  <c r="V45" i="7"/>
  <c r="Z44" i="7"/>
  <c r="AD43" i="7"/>
  <c r="V43" i="7"/>
  <c r="Z42" i="7"/>
  <c r="AB41" i="7"/>
  <c r="AA40" i="7"/>
  <c r="T15" i="7"/>
  <c r="AD13" i="7"/>
  <c r="V13" i="7"/>
  <c r="Z12" i="7"/>
  <c r="AD11" i="7"/>
  <c r="V11" i="7"/>
  <c r="Z10" i="7"/>
  <c r="AB9" i="7"/>
  <c r="T13" i="7"/>
  <c r="Z9" i="7"/>
  <c r="AD131" i="7"/>
  <c r="Z101" i="7"/>
  <c r="V72" i="7"/>
  <c r="AB14" i="7"/>
  <c r="X135" i="7"/>
  <c r="W134" i="7"/>
  <c r="Y133" i="7"/>
  <c r="AC132" i="7"/>
  <c r="U132" i="7"/>
  <c r="Y131" i="7"/>
  <c r="AC130" i="7"/>
  <c r="U130" i="7"/>
  <c r="S129" i="7"/>
  <c r="AC105" i="7"/>
  <c r="U105" i="7"/>
  <c r="Y104" i="7"/>
  <c r="AC103" i="7"/>
  <c r="U103" i="7"/>
  <c r="Y102" i="7"/>
  <c r="AC101" i="7"/>
  <c r="U101" i="7"/>
  <c r="X100" i="7"/>
  <c r="S77" i="7"/>
  <c r="AC75" i="7"/>
  <c r="U75" i="7"/>
  <c r="Y74" i="7"/>
  <c r="AC73" i="7"/>
  <c r="U73" i="7"/>
  <c r="Y72" i="7"/>
  <c r="AA71" i="7"/>
  <c r="Z70" i="7"/>
  <c r="S47" i="7"/>
  <c r="AC45" i="7"/>
  <c r="U45" i="7"/>
  <c r="Y44" i="7"/>
  <c r="AC43" i="7"/>
  <c r="U43" i="7"/>
  <c r="Y42" i="7"/>
  <c r="AA41" i="7"/>
  <c r="Z40" i="7"/>
  <c r="S15" i="7"/>
  <c r="AC13" i="7"/>
  <c r="U13" i="7"/>
  <c r="Y12" i="7"/>
  <c r="AC11" i="7"/>
  <c r="U11" i="7"/>
  <c r="Y10" i="7"/>
  <c r="AA9" i="7"/>
  <c r="Z8" i="7"/>
  <c r="X12" i="7"/>
  <c r="X10" i="7"/>
  <c r="AD133" i="7"/>
  <c r="Z130" i="7"/>
  <c r="T128" i="7"/>
  <c r="Z105" i="7"/>
  <c r="AD104" i="7"/>
  <c r="V104" i="7"/>
  <c r="Z103" i="7"/>
  <c r="AD102" i="7"/>
  <c r="AD100" i="7"/>
  <c r="V74" i="7"/>
  <c r="X71" i="7"/>
  <c r="AB46" i="7"/>
  <c r="Z43" i="7"/>
  <c r="V42" i="7"/>
  <c r="Z13" i="7"/>
  <c r="AD10" i="7"/>
  <c r="W135" i="7"/>
  <c r="V134" i="7"/>
  <c r="X133" i="7"/>
  <c r="AB132" i="7"/>
  <c r="T132" i="7"/>
  <c r="X131" i="7"/>
  <c r="AB130" i="7"/>
  <c r="T130" i="7"/>
  <c r="AD128" i="7"/>
  <c r="AB105" i="7"/>
  <c r="T105" i="7"/>
  <c r="X104" i="7"/>
  <c r="AB103" i="7"/>
  <c r="T103" i="7"/>
  <c r="X102" i="7"/>
  <c r="AB101" i="7"/>
  <c r="T101" i="7"/>
  <c r="W100" i="7"/>
  <c r="AD76" i="7"/>
  <c r="AB75" i="7"/>
  <c r="T75" i="7"/>
  <c r="X74" i="7"/>
  <c r="AB73" i="7"/>
  <c r="T73" i="7"/>
  <c r="X72" i="7"/>
  <c r="Z71" i="7"/>
  <c r="Y70" i="7"/>
  <c r="AD46" i="7"/>
  <c r="AB45" i="7"/>
  <c r="T45" i="7"/>
  <c r="X44" i="7"/>
  <c r="AB43" i="7"/>
  <c r="T43" i="7"/>
  <c r="X42" i="7"/>
  <c r="Z41" i="7"/>
  <c r="AD14" i="7"/>
  <c r="AB11" i="7"/>
  <c r="Z132" i="7"/>
  <c r="Z75" i="7"/>
  <c r="AD42" i="7"/>
  <c r="V135" i="7"/>
  <c r="U134" i="7"/>
  <c r="W133" i="7"/>
  <c r="AA132" i="7"/>
  <c r="S132" i="7"/>
  <c r="W131" i="7"/>
  <c r="AA130" i="7"/>
  <c r="S130" i="7"/>
  <c r="AC128" i="7"/>
  <c r="AA105" i="7"/>
  <c r="S105" i="7"/>
  <c r="W104" i="7"/>
  <c r="AA103" i="7"/>
  <c r="S103" i="7"/>
  <c r="W102" i="7"/>
  <c r="AA101" i="7"/>
  <c r="S101" i="7"/>
  <c r="V100" i="7"/>
  <c r="AC76" i="7"/>
  <c r="AA75" i="7"/>
  <c r="S75" i="7"/>
  <c r="W74" i="7"/>
  <c r="AA73" i="7"/>
  <c r="S73" i="7"/>
  <c r="W72" i="7"/>
  <c r="Y71" i="7"/>
  <c r="X70" i="7"/>
  <c r="AC46" i="7"/>
  <c r="AA45" i="7"/>
  <c r="S45" i="7"/>
  <c r="W44" i="7"/>
  <c r="AA43" i="7"/>
  <c r="S43" i="7"/>
  <c r="W42" i="7"/>
  <c r="Y41" i="7"/>
  <c r="X40" i="7"/>
  <c r="AC14" i="7"/>
  <c r="AA13" i="7"/>
  <c r="S13" i="7"/>
  <c r="W12" i="7"/>
  <c r="AA11" i="7"/>
  <c r="S11" i="7"/>
  <c r="W10" i="7"/>
  <c r="Y9" i="7"/>
  <c r="X8" i="7"/>
  <c r="V131" i="7"/>
  <c r="V102" i="7"/>
  <c r="AD72" i="7"/>
  <c r="W40" i="7"/>
  <c r="X9" i="7"/>
  <c r="AA134" i="7"/>
  <c r="AC133" i="7"/>
  <c r="U133" i="7"/>
  <c r="Y132" i="7"/>
  <c r="AC131" i="7"/>
  <c r="U131" i="7"/>
  <c r="Y130" i="7"/>
  <c r="AC129" i="7"/>
  <c r="S128" i="7"/>
  <c r="Y105" i="7"/>
  <c r="AC104" i="7"/>
  <c r="U104" i="7"/>
  <c r="Y103" i="7"/>
  <c r="AC102" i="7"/>
  <c r="U102" i="7"/>
  <c r="Y101" i="7"/>
  <c r="AC100" i="7"/>
  <c r="S100" i="7"/>
  <c r="U76" i="7"/>
  <c r="Y75" i="7"/>
  <c r="AC74" i="7"/>
  <c r="U74" i="7"/>
  <c r="Y73" i="7"/>
  <c r="AC72" i="7"/>
  <c r="U72" i="7"/>
  <c r="W71" i="7"/>
  <c r="V70" i="7"/>
  <c r="U46" i="7"/>
  <c r="Y45" i="7"/>
  <c r="AC44" i="7"/>
  <c r="U44" i="7"/>
  <c r="Y43" i="7"/>
  <c r="AC42" i="7"/>
  <c r="U42" i="7"/>
  <c r="W41" i="7"/>
  <c r="V40" i="7"/>
  <c r="U14" i="7"/>
  <c r="Y13" i="7"/>
  <c r="AC12" i="7"/>
  <c r="U12" i="7"/>
  <c r="Y11" i="7"/>
  <c r="AC10" i="7"/>
  <c r="U10" i="7"/>
  <c r="W9" i="7"/>
  <c r="V8" i="7"/>
  <c r="AD129" i="7"/>
  <c r="T100" i="7"/>
  <c r="Z73" i="7"/>
  <c r="W70" i="7"/>
  <c r="V44" i="7"/>
  <c r="X41" i="7"/>
  <c r="V12" i="7"/>
  <c r="V10" i="7"/>
  <c r="F267" i="1"/>
  <c r="H289" i="1"/>
  <c r="H282" i="1"/>
  <c r="H296" i="1"/>
  <c r="H253" i="1"/>
  <c r="D253" i="1" s="1"/>
  <c r="D268" i="1" s="1"/>
  <c r="C190" i="1"/>
  <c r="C201" i="1" s="1"/>
  <c r="K26" i="4" s="1"/>
  <c r="H251" i="1"/>
  <c r="D251" i="1" s="1"/>
  <c r="C64" i="1"/>
  <c r="E6" i="1"/>
  <c r="E120" i="1"/>
  <c r="E99" i="1"/>
  <c r="D114" i="1" s="1"/>
  <c r="G78" i="1"/>
  <c r="D93" i="1" s="1"/>
  <c r="E58" i="1"/>
  <c r="E38" i="1"/>
  <c r="D256" i="1" l="1"/>
  <c r="D257" i="1" s="1"/>
  <c r="C202" i="1"/>
  <c r="C203" i="1" s="1"/>
  <c r="O26" i="4" s="1"/>
  <c r="C195" i="1"/>
  <c r="O11" i="4" s="1"/>
  <c r="C194" i="1"/>
  <c r="D194" i="1" s="1"/>
  <c r="N11" i="4" s="1"/>
  <c r="C193" i="1"/>
  <c r="D193" i="1" s="1"/>
  <c r="L11" i="4" s="1"/>
  <c r="F268" i="1"/>
  <c r="H290" i="1"/>
  <c r="H283" i="1"/>
  <c r="H297" i="1"/>
  <c r="D271" i="1"/>
  <c r="D135" i="1"/>
  <c r="L24" i="4" s="1"/>
  <c r="D137" i="1"/>
  <c r="D73" i="1"/>
  <c r="E73" i="1"/>
  <c r="D72" i="1"/>
  <c r="L21" i="4" s="1"/>
  <c r="E72" i="1"/>
  <c r="C72" i="1"/>
  <c r="K21" i="4" s="1"/>
  <c r="D74" i="1"/>
  <c r="E74" i="1"/>
  <c r="D115" i="1"/>
  <c r="D116" i="1"/>
  <c r="D136" i="1"/>
  <c r="D95" i="1"/>
  <c r="D94" i="1"/>
  <c r="E4" i="1"/>
  <c r="E7" i="1"/>
  <c r="E8" i="1"/>
  <c r="E5" i="1"/>
  <c r="M11" i="4" l="1"/>
  <c r="M26" i="4"/>
  <c r="D195" i="1"/>
  <c r="P11" i="4" s="1"/>
  <c r="K11" i="4"/>
  <c r="H295" i="1"/>
  <c r="H281" i="1"/>
  <c r="H286" i="1" s="1"/>
  <c r="F266" i="1"/>
  <c r="F271" i="1" s="1"/>
  <c r="I29" i="4"/>
  <c r="I30" i="4" s="1"/>
  <c r="O14" i="4"/>
  <c r="E14" i="4"/>
  <c r="E15" i="4" s="1"/>
  <c r="C14" i="4"/>
  <c r="C15" i="4" s="1"/>
  <c r="K29" i="4"/>
  <c r="C29" i="4"/>
  <c r="K14" i="4"/>
  <c r="E52" i="1"/>
  <c r="C123" i="1"/>
  <c r="C120" i="1"/>
  <c r="E78" i="1"/>
  <c r="C78" i="1"/>
  <c r="O29" i="4"/>
  <c r="M29" i="4"/>
  <c r="D52" i="1"/>
  <c r="P23" i="4"/>
  <c r="D34" i="1"/>
  <c r="K20" i="4" l="1"/>
  <c r="H293" i="1"/>
  <c r="H300" i="1"/>
  <c r="C30" i="4"/>
  <c r="C136" i="1"/>
  <c r="C137" i="1"/>
  <c r="C135" i="1"/>
  <c r="K24" i="4" s="1"/>
  <c r="C94" i="1"/>
  <c r="C95" i="1"/>
  <c r="C93" i="1"/>
  <c r="C126" i="1"/>
  <c r="P22" i="4"/>
  <c r="D14" i="4"/>
  <c r="D15" i="4" s="1"/>
  <c r="D29" i="4"/>
  <c r="D30" i="4" s="1"/>
  <c r="L29" i="4"/>
  <c r="F14" i="4"/>
  <c r="F15" i="4" s="1"/>
  <c r="F29" i="4"/>
  <c r="F30" i="4" s="1"/>
  <c r="J14" i="4"/>
  <c r="J15" i="4" s="1"/>
  <c r="J29" i="4"/>
  <c r="J30" i="4" s="1"/>
  <c r="H14" i="4"/>
  <c r="H15" i="4" s="1"/>
  <c r="G14" i="4"/>
  <c r="G15" i="4" s="1"/>
  <c r="M14" i="4"/>
  <c r="I14" i="4"/>
  <c r="I15" i="4" s="1"/>
  <c r="P14" i="4"/>
  <c r="E29" i="4"/>
  <c r="D47" i="1"/>
  <c r="E54" i="1"/>
  <c r="N21" i="4"/>
  <c r="C69" i="1"/>
  <c r="O5" i="4" s="1"/>
  <c r="E53" i="1"/>
  <c r="C74" i="1"/>
  <c r="O21" i="4" s="1"/>
  <c r="D54" i="1"/>
  <c r="P28" i="4" s="1"/>
  <c r="D33" i="1"/>
  <c r="C67" i="1"/>
  <c r="D53" i="1"/>
  <c r="P21" i="4"/>
  <c r="D32" i="1"/>
  <c r="L28" i="4" s="1"/>
  <c r="L22" i="4"/>
  <c r="P24" i="4"/>
  <c r="N24" i="4"/>
  <c r="N22" i="4"/>
  <c r="C84" i="1"/>
  <c r="C85" i="1"/>
  <c r="C86" i="1"/>
  <c r="C127" i="1"/>
  <c r="C128" i="1"/>
  <c r="C73" i="1"/>
  <c r="M21" i="4" s="1"/>
  <c r="C68" i="1"/>
  <c r="M5" i="4" s="1"/>
  <c r="N23" i="4"/>
  <c r="L23" i="4"/>
  <c r="M20" i="4" l="1"/>
  <c r="O20" i="4"/>
  <c r="E30" i="4"/>
  <c r="K5" i="4"/>
  <c r="D67" i="1"/>
  <c r="L5" i="4" s="1"/>
  <c r="M6" i="4"/>
  <c r="M22" i="4"/>
  <c r="O6" i="4"/>
  <c r="O22" i="4"/>
  <c r="K6" i="4"/>
  <c r="K22" i="4"/>
  <c r="D126" i="1"/>
  <c r="L8" i="4" s="1"/>
  <c r="N14" i="4"/>
  <c r="P29" i="4"/>
  <c r="N29" i="4"/>
  <c r="G29" i="4"/>
  <c r="G30" i="4" s="1"/>
  <c r="H29" i="4"/>
  <c r="H30" i="4" s="1"/>
  <c r="L14" i="4"/>
  <c r="D69" i="1"/>
  <c r="P5" i="4" s="1"/>
  <c r="K13" i="4"/>
  <c r="D28" i="1"/>
  <c r="N28" i="4"/>
  <c r="D48" i="1"/>
  <c r="M13" i="4"/>
  <c r="D29" i="1"/>
  <c r="O13" i="4"/>
  <c r="D49" i="1"/>
  <c r="L13" i="4"/>
  <c r="D68" i="1"/>
  <c r="N5" i="4" s="1"/>
  <c r="N7" i="4"/>
  <c r="M7" i="4"/>
  <c r="D127" i="1"/>
  <c r="N8" i="4" s="1"/>
  <c r="M8" i="4"/>
  <c r="L7" i="4"/>
  <c r="K7" i="4"/>
  <c r="M24" i="4"/>
  <c r="O24" i="4"/>
  <c r="M23" i="4"/>
  <c r="O23" i="4"/>
  <c r="D128" i="1"/>
  <c r="P8" i="4" s="1"/>
  <c r="O8" i="4"/>
  <c r="D85" i="1"/>
  <c r="N6" i="4" s="1"/>
  <c r="P7" i="4"/>
  <c r="O7" i="4"/>
  <c r="K8" i="4"/>
  <c r="K23" i="4"/>
  <c r="D86" i="1"/>
  <c r="P6" i="4" s="1"/>
  <c r="D84" i="1"/>
  <c r="L6" i="4" s="1"/>
  <c r="N13" i="4" l="1"/>
  <c r="P13" i="4"/>
  <c r="K30" i="4" l="1"/>
  <c r="L30" i="4"/>
  <c r="O30" i="4"/>
  <c r="P30" i="4"/>
  <c r="M30" i="4"/>
  <c r="K15" i="4"/>
  <c r="O15" i="4"/>
  <c r="M15" i="4"/>
  <c r="L15" i="4" l="1"/>
  <c r="N15" i="4"/>
  <c r="N30" i="4"/>
  <c r="P15" i="4"/>
</calcChain>
</file>

<file path=xl/sharedStrings.xml><?xml version="1.0" encoding="utf-8"?>
<sst xmlns="http://schemas.openxmlformats.org/spreadsheetml/2006/main" count="927" uniqueCount="242">
  <si>
    <t>Max tph</t>
  </si>
  <si>
    <t>total concrete</t>
  </si>
  <si>
    <t>aggregate</t>
  </si>
  <si>
    <t>sand</t>
  </si>
  <si>
    <t>cement</t>
  </si>
  <si>
    <t>flyash</t>
  </si>
  <si>
    <t>water</t>
  </si>
  <si>
    <t>cuyd/hr</t>
  </si>
  <si>
    <t>MPH</t>
  </si>
  <si>
    <t>%</t>
  </si>
  <si>
    <t>lb/hr</t>
  </si>
  <si>
    <t>lbs/hr</t>
  </si>
  <si>
    <t>Cement Truck VMT</t>
  </si>
  <si>
    <t>Flyash Truck VMT</t>
  </si>
  <si>
    <t>Aggregate Truck VMT</t>
  </si>
  <si>
    <t>Concrete Truck VMT</t>
  </si>
  <si>
    <t>Max. Cement Truck/hr</t>
  </si>
  <si>
    <t>Max. Aggregate Truck/hr</t>
  </si>
  <si>
    <t>Max. Concrete Truck/hr</t>
  </si>
  <si>
    <t>truck/hr</t>
  </si>
  <si>
    <t>Cement Truck weight</t>
  </si>
  <si>
    <t>Flyash Truck weight</t>
  </si>
  <si>
    <t>Aggregate Truck weight</t>
  </si>
  <si>
    <t>Concrete Truck weight</t>
  </si>
  <si>
    <t>Max. Cement Truck Emissions</t>
  </si>
  <si>
    <t>Max. Flyash Truck Emissions</t>
  </si>
  <si>
    <t>Max. Aggregate Truck Emissions</t>
  </si>
  <si>
    <t>Max. Concrete Truck Emissions</t>
  </si>
  <si>
    <t>tons/hr</t>
  </si>
  <si>
    <t>tons/load</t>
  </si>
  <si>
    <t>Equation:</t>
  </si>
  <si>
    <t>k PM10</t>
  </si>
  <si>
    <t>E(PM10) =</t>
  </si>
  <si>
    <t>E(pm10) Controlled</t>
  </si>
  <si>
    <t>Aggregate Storage Pile Handling</t>
  </si>
  <si>
    <t>Sand Storage Pile Handling</t>
  </si>
  <si>
    <t>Aggregate Bin Loading</t>
  </si>
  <si>
    <t>cuyd/day</t>
  </si>
  <si>
    <t>AP-42 13.2.4</t>
  </si>
  <si>
    <t>E = k x (0.0032) x (U/5)^1.3 / (M/2)^1.4 lbs/ton</t>
  </si>
  <si>
    <t>k(pm10)</t>
  </si>
  <si>
    <t>M</t>
  </si>
  <si>
    <t>tph</t>
  </si>
  <si>
    <t>ton/day</t>
  </si>
  <si>
    <t>lbs/ton</t>
  </si>
  <si>
    <t>Max. Flyash Truck/hr</t>
  </si>
  <si>
    <t>E(pm10) Uncontrolled</t>
  </si>
  <si>
    <t>Emission Factors</t>
  </si>
  <si>
    <t>CO</t>
  </si>
  <si>
    <t>VOC</t>
  </si>
  <si>
    <t>PM</t>
  </si>
  <si>
    <t>NOx</t>
  </si>
  <si>
    <t>Uncontrolled Cement Silo Loading PM10</t>
  </si>
  <si>
    <t>hrs/yr</t>
  </si>
  <si>
    <t>ton/yr</t>
  </si>
  <si>
    <t>tons/yr</t>
  </si>
  <si>
    <t>Typical cuyd of concrete</t>
  </si>
  <si>
    <t>Annual emissions only include p factor</t>
  </si>
  <si>
    <t>total combined traffic</t>
  </si>
  <si>
    <t>Uncontrolled hrs/yr of operation</t>
  </si>
  <si>
    <t>Calculated Uncontrolled Emissions</t>
  </si>
  <si>
    <t>Calculated Controlled Emissions</t>
  </si>
  <si>
    <t>Uncontrolled Hours</t>
  </si>
  <si>
    <t>Controlled Hours</t>
  </si>
  <si>
    <t>SO2</t>
  </si>
  <si>
    <t>E(pm2.5) Controlled</t>
  </si>
  <si>
    <t>k(pm2.5)</t>
  </si>
  <si>
    <t>E(pm2.5) Uncontrolled</t>
  </si>
  <si>
    <t>AP-42 11.19.2 Table 11.19.2-2 "Conveyor Transfer Point"</t>
  </si>
  <si>
    <t>E(PM2.5) =</t>
  </si>
  <si>
    <t>Uncontrolled Emission Totals</t>
  </si>
  <si>
    <t>ID #</t>
  </si>
  <si>
    <t>Source Description</t>
  </si>
  <si>
    <t>PM10</t>
  </si>
  <si>
    <t>Cement/Fly Ash Batcher</t>
  </si>
  <si>
    <t>Haul Road</t>
  </si>
  <si>
    <t>Total</t>
  </si>
  <si>
    <t>Controlled Emission Totals</t>
  </si>
  <si>
    <t>PM2.5</t>
  </si>
  <si>
    <t>Aggregate Weigh Batcher and Conveyor</t>
  </si>
  <si>
    <t>Aggregate and Sand Feeder Loading</t>
  </si>
  <si>
    <t>Aggregate and Sand Feeder Unloading</t>
  </si>
  <si>
    <t>cuyd/load</t>
  </si>
  <si>
    <t>miles/yr uncontrolled</t>
  </si>
  <si>
    <t>miles/yr controlled</t>
  </si>
  <si>
    <t xml:space="preserve"> NOx, CO, VOC and PM Emissions</t>
  </si>
  <si>
    <t>cuyd/yr</t>
  </si>
  <si>
    <t>Hours per year of operation based on annual throughput</t>
  </si>
  <si>
    <t>AP-42 Section 11.12, Table 11.12-2, footnote b</t>
  </si>
  <si>
    <t>Concrete Trucks</t>
  </si>
  <si>
    <t>Aggregate Trucks</t>
  </si>
  <si>
    <t>Max. Cement Truck/yr</t>
  </si>
  <si>
    <t>Max. Flyash Truck/yr</t>
  </si>
  <si>
    <t>Max. Aggregate Truck/yr</t>
  </si>
  <si>
    <t>Max. Concrete Truck/yr</t>
  </si>
  <si>
    <t>truck/yr</t>
  </si>
  <si>
    <t>Cement/Fly Ash Weigh Batcher</t>
  </si>
  <si>
    <t>Concrete Batch Heater</t>
  </si>
  <si>
    <t>Heat Rate</t>
  </si>
  <si>
    <t>Truck Loading</t>
  </si>
  <si>
    <t>Controlled based on baghouse exit control efficiency of 99.9%</t>
  </si>
  <si>
    <t>Control Efficiency</t>
  </si>
  <si>
    <t>E(pm10) controlled truck load</t>
  </si>
  <si>
    <t>E(pm2.5) controlled truck load</t>
  </si>
  <si>
    <t>Concrete Batch Plant Heater</t>
  </si>
  <si>
    <t>pound/yd</t>
  </si>
  <si>
    <t>(not a requested permit limit)</t>
  </si>
  <si>
    <t>Calculated weighted average aggregate and sand</t>
  </si>
  <si>
    <t>5,6</t>
  </si>
  <si>
    <t>Cement Silo</t>
  </si>
  <si>
    <t>Limit Annual Material Throughput</t>
  </si>
  <si>
    <t>RT miles/vehicle</t>
  </si>
  <si>
    <t>RT miles/hr</t>
  </si>
  <si>
    <t>k(PM)</t>
  </si>
  <si>
    <t>E(PM) Uncontrolled</t>
  </si>
  <si>
    <t>E(PM) Controlled</t>
  </si>
  <si>
    <t xml:space="preserve">E(PM) = </t>
  </si>
  <si>
    <t>E(PM) controlled truck load</t>
  </si>
  <si>
    <t>Uncontrolled Cement Silo Loading PM</t>
  </si>
  <si>
    <t>SO2 Emissions</t>
  </si>
  <si>
    <t>January</t>
  </si>
  <si>
    <t>February</t>
  </si>
  <si>
    <t>March</t>
  </si>
  <si>
    <t>April</t>
  </si>
  <si>
    <t>May</t>
  </si>
  <si>
    <t>June</t>
  </si>
  <si>
    <t>July</t>
  </si>
  <si>
    <t>Augst</t>
  </si>
  <si>
    <t>September</t>
  </si>
  <si>
    <t>October</t>
  </si>
  <si>
    <t>November</t>
  </si>
  <si>
    <t>December</t>
  </si>
  <si>
    <t>Feeder Hopper</t>
  </si>
  <si>
    <t>Feed Hopper Conveyor</t>
  </si>
  <si>
    <t xml:space="preserve">4-Bin Aggregate Bin </t>
  </si>
  <si>
    <t>RT meter/vehicle</t>
  </si>
  <si>
    <t>Max. plant capacity</t>
  </si>
  <si>
    <t>tons/average</t>
  </si>
  <si>
    <t>Umax</t>
  </si>
  <si>
    <t>Uannual</t>
  </si>
  <si>
    <t>NMED Default</t>
  </si>
  <si>
    <t>Ruidoso Airport WS 1996-2006</t>
  </si>
  <si>
    <t>Model lbs/hr</t>
  </si>
  <si>
    <t>7,8</t>
  </si>
  <si>
    <t>Truck Loading and Cement/Fly Ash Batcher Baghouse</t>
  </si>
  <si>
    <t>Uncontrolled emissions based on AP-42 Section 11.12 "Concrete Batching" Table 11.12-2 "Uncontrolled Truck Loading"</t>
  </si>
  <si>
    <t>Uncontrolled Mixer Loading PM</t>
  </si>
  <si>
    <t>Uncontrolled Mixer Loading PM10</t>
  </si>
  <si>
    <t>Max tph Cement and Flyash</t>
  </si>
  <si>
    <t>Uncontrolled emissions based on AP-42 Section 11.12 "Concrete Batching" Table 11.12-2 "Uncontrolled Mixer Loading"</t>
  </si>
  <si>
    <t>E(pm) uncontrolled batcher</t>
  </si>
  <si>
    <t>E(pm10) uncontrolled batcher</t>
  </si>
  <si>
    <t>E(pm2.5) uncontrolled batcher</t>
  </si>
  <si>
    <t>Uncontrolled emissions based on AP-42 Section 11.12 "Concrete Batching" Table 11.12-2 "Cement Unloading to Elevated Storage Silo"</t>
  </si>
  <si>
    <t>Max tph Cement</t>
  </si>
  <si>
    <t>E(pm) uncontrolled cement</t>
  </si>
  <si>
    <t>E(pm10) uncontrolled cement</t>
  </si>
  <si>
    <t>E(pm2.5) uncontrolled cement</t>
  </si>
  <si>
    <t>Uncontrolled emissions based on AP-42 Section 11.12 "Concrete Batching" Table 11.12-2 "Cement Supplement Unloading to Elevated Storage Silo"</t>
  </si>
  <si>
    <t>Max tph Fly Ash</t>
  </si>
  <si>
    <t>E(pm) uncontrolled fly ash</t>
  </si>
  <si>
    <t>E(pm10) uncontrolled fly ash</t>
  </si>
  <si>
    <t>E(pm2.5) uncontrolled fly ash</t>
  </si>
  <si>
    <t>E(pm10) uncontrolled truck loading</t>
  </si>
  <si>
    <t>E(pm) uncontrolled truck loading</t>
  </si>
  <si>
    <t>E(pm2.5) uncontrolled truck loading</t>
  </si>
  <si>
    <t>Flyash Silo</t>
  </si>
  <si>
    <t>E(PM) controlled batcher</t>
  </si>
  <si>
    <t>E(pm10) controlled batcher</t>
  </si>
  <si>
    <t>E(pm2.5) controlled batcher</t>
  </si>
  <si>
    <t>E(PM) controlled cement</t>
  </si>
  <si>
    <t>E(pm10) controlled cement</t>
  </si>
  <si>
    <t>E(pm2.5) controlled cement</t>
  </si>
  <si>
    <t>Fly Ash Split Silo</t>
  </si>
  <si>
    <t>Cement Split Silo</t>
  </si>
  <si>
    <t>Fly Ash Split Silo Baghouse</t>
  </si>
  <si>
    <t>Cement Split Silo Bahouse</t>
  </si>
  <si>
    <t>Uncontrolled Truck Loading PM</t>
  </si>
  <si>
    <t>Uncontrolled Truck Loading PM10</t>
  </si>
  <si>
    <t>Uncontrolled Truck Loading PM2.5, Truck Loading Table 11.12-3 PM10 * PM2.5/PM10 (0.05/0.278)</t>
  </si>
  <si>
    <t>E(PM) controlled truck loading</t>
  </si>
  <si>
    <t>E(pm10) controlled truck loading</t>
  </si>
  <si>
    <t>E(pm2.5) controlled truck loading</t>
  </si>
  <si>
    <t>Controlled Truck Loading PM2.5, Truck Loading Table 11.12-3 PM10 * PM2.5/PM10 (0.048/0.32)</t>
  </si>
  <si>
    <t>Uncontrolled Mixer Loading PM2.5, Central Mix Operation Table 11.12-4 PM10 * PM2.5/PM10 (0.38/1.92)</t>
  </si>
  <si>
    <t>Heater Size</t>
  </si>
  <si>
    <t>Natural Gas</t>
  </si>
  <si>
    <t>BTU/hr</t>
  </si>
  <si>
    <t>BTU/scf</t>
  </si>
  <si>
    <t>scf/hr</t>
  </si>
  <si>
    <t>%sulfur</t>
  </si>
  <si>
    <t>grains/100 scf</t>
  </si>
  <si>
    <t>lbs/10^6 scf</t>
  </si>
  <si>
    <t>tpy</t>
  </si>
  <si>
    <t>SOx</t>
  </si>
  <si>
    <t>Mass Balance</t>
  </si>
  <si>
    <t>Aggregate Weight Batcher Unloading to Batcher Conveyor</t>
  </si>
  <si>
    <t>Controlled Mixer Loading PM2.5, Central Mix Operation Table 11.12-4 PM10 * PM2.5/PM10 (0.03/0.13)</t>
  </si>
  <si>
    <t>AP-42 1.4 (7/98)</t>
  </si>
  <si>
    <t>Aggregate/Sand Storage Piles</t>
  </si>
  <si>
    <t>Road Traffic</t>
  </si>
  <si>
    <t>AP-42 13.2 Unpaved Road (12/03)</t>
  </si>
  <si>
    <t>E = k(s/12)^a*(W/3)^b*[(365-p)/365]</t>
  </si>
  <si>
    <t>k PM</t>
  </si>
  <si>
    <t>k PM2.5</t>
  </si>
  <si>
    <t>a PM</t>
  </si>
  <si>
    <t>a PM10</t>
  </si>
  <si>
    <t>a PM2.5</t>
  </si>
  <si>
    <t>b PM</t>
  </si>
  <si>
    <t>b PM10</t>
  </si>
  <si>
    <t>b PM2.5</t>
  </si>
  <si>
    <t>% Silt Content = s</t>
  </si>
  <si>
    <t>Sand and Gravel (AP-42 13.2.2-1)</t>
  </si>
  <si>
    <t>precipitation days/yr</t>
  </si>
  <si>
    <t>days</t>
  </si>
  <si>
    <t>AP-42 Figure 13.2.2-1</t>
  </si>
  <si>
    <t>Vehicle control</t>
  </si>
  <si>
    <t>Paved and Sweep</t>
  </si>
  <si>
    <t>(ton truck tare)</t>
  </si>
  <si>
    <t>Water Truck VMT</t>
  </si>
  <si>
    <t>Max. Water Truck/hr</t>
  </si>
  <si>
    <t>gallons/load</t>
  </si>
  <si>
    <t>Max. Water Truck/yr</t>
  </si>
  <si>
    <t>Gallon/Hr</t>
  </si>
  <si>
    <t>Gallons/Yr</t>
  </si>
  <si>
    <t>gallons/hr</t>
  </si>
  <si>
    <t>gallons/yr</t>
  </si>
  <si>
    <t>Water Truck weight</t>
  </si>
  <si>
    <t>Max. Water Truck Emissions</t>
  </si>
  <si>
    <t>November - February</t>
  </si>
  <si>
    <t>March, October</t>
  </si>
  <si>
    <t>August</t>
  </si>
  <si>
    <t>April - September</t>
  </si>
  <si>
    <t>7:00 AM - 5:00 PM</t>
  </si>
  <si>
    <t>6:00 AM - 6:00 PM</t>
  </si>
  <si>
    <t>5:00 AM - 7:00 PM</t>
  </si>
  <si>
    <t>Hours of Operation</t>
  </si>
  <si>
    <t>Months</t>
  </si>
  <si>
    <t>Daily Cubic Yards</t>
  </si>
  <si>
    <t>truck/day</t>
  </si>
  <si>
    <t>Uncontrolled</t>
  </si>
  <si>
    <t>Controlled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</si>
</sst>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"/>
    <numFmt numFmtId="165" formatCode="0.0"/>
    <numFmt numFmtId="166" formatCode="0.000000"/>
    <numFmt numFmtId="167" formatCode="0.0000"/>
    <numFmt numFmtId="168" formatCode="0.000"/>
    <numFmt numFmtId="169" formatCode="0.0%"/>
  </numFmts>
  <fonts count="11" x14ac:knownFonts="1">
    <font>
      <sz val="10"/>
      <name val="Times New Roman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9.75"/>
      <name val="Times New Roman"/>
      <family val="1"/>
    </font>
    <font>
      <sz val="10"/>
      <name val="Arial"/>
      <family val="2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9" fillId="0" borderId="0"/>
  </cellStyleXfs>
  <cellXfs count="155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3" fillId="0" borderId="0" xfId="0" applyFont="1"/>
    <xf numFmtId="164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2" fontId="0" fillId="0" borderId="0" xfId="0" applyNumberFormat="1" applyAlignment="1">
      <alignment horizontal="center"/>
    </xf>
    <xf numFmtId="165" fontId="0" fillId="0" borderId="0" xfId="0" applyNumberFormat="1"/>
    <xf numFmtId="2" fontId="0" fillId="0" borderId="1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2" fontId="0" fillId="0" borderId="4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right"/>
    </xf>
    <xf numFmtId="168" fontId="0" fillId="0" borderId="0" xfId="0" applyNumberFormat="1"/>
    <xf numFmtId="165" fontId="0" fillId="0" borderId="6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68" fontId="0" fillId="0" borderId="7" xfId="0" applyNumberForma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2" fontId="0" fillId="0" borderId="7" xfId="0" applyNumberFormat="1" applyBorder="1" applyAlignment="1">
      <alignment horizontal="center"/>
    </xf>
    <xf numFmtId="2" fontId="0" fillId="0" borderId="0" xfId="0" applyNumberFormat="1"/>
    <xf numFmtId="0" fontId="5" fillId="0" borderId="0" xfId="0" applyFont="1" applyAlignment="1">
      <alignment horizontal="center" wrapText="1"/>
    </xf>
    <xf numFmtId="1" fontId="1" fillId="0" borderId="4" xfId="0" applyNumberFormat="1" applyFont="1" applyBorder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165" fontId="2" fillId="0" borderId="4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0" xfId="0" applyNumberFormat="1" applyFont="1"/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10" xfId="0" applyBorder="1" applyAlignment="1">
      <alignment horizontal="center"/>
    </xf>
    <xf numFmtId="0" fontId="1" fillId="0" borderId="4" xfId="0" applyFont="1" applyBorder="1" applyAlignment="1">
      <alignment horizontal="right"/>
    </xf>
    <xf numFmtId="168" fontId="1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9" fontId="0" fillId="0" borderId="0" xfId="0" applyNumberFormat="1"/>
    <xf numFmtId="18" fontId="0" fillId="0" borderId="0" xfId="0" applyNumberFormat="1"/>
    <xf numFmtId="165" fontId="0" fillId="0" borderId="17" xfId="0" applyNumberFormat="1" applyBorder="1"/>
    <xf numFmtId="0" fontId="0" fillId="0" borderId="17" xfId="0" applyBorder="1"/>
    <xf numFmtId="0" fontId="2" fillId="0" borderId="17" xfId="0" applyFont="1" applyBorder="1"/>
    <xf numFmtId="1" fontId="0" fillId="0" borderId="0" xfId="0" applyNumberFormat="1" applyAlignment="1">
      <alignment horizontal="right"/>
    </xf>
    <xf numFmtId="167" fontId="0" fillId="0" borderId="0" xfId="0" applyNumberFormat="1"/>
    <xf numFmtId="1" fontId="1" fillId="0" borderId="6" xfId="0" applyNumberFormat="1" applyFont="1" applyBorder="1" applyAlignment="1">
      <alignment horizontal="center"/>
    </xf>
    <xf numFmtId="165" fontId="2" fillId="0" borderId="0" xfId="0" applyNumberFormat="1" applyFont="1"/>
    <xf numFmtId="0" fontId="0" fillId="0" borderId="0" xfId="0" applyAlignment="1">
      <alignment horizontal="center"/>
    </xf>
    <xf numFmtId="1" fontId="8" fillId="0" borderId="0" xfId="2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1" fontId="2" fillId="0" borderId="0" xfId="0" applyNumberFormat="1" applyFont="1"/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0" xfId="1" applyNumberFormat="1" applyFont="1"/>
    <xf numFmtId="165" fontId="0" fillId="0" borderId="5" xfId="0" applyNumberFormat="1" applyBorder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8" fontId="0" fillId="0" borderId="5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Fill="1"/>
    <xf numFmtId="0" fontId="0" fillId="0" borderId="0" xfId="0" applyFill="1"/>
    <xf numFmtId="168" fontId="0" fillId="0" borderId="0" xfId="0" applyNumberFormat="1" applyFill="1"/>
    <xf numFmtId="167" fontId="0" fillId="0" borderId="0" xfId="0" applyNumberFormat="1" applyFill="1"/>
    <xf numFmtId="164" fontId="0" fillId="0" borderId="0" xfId="0" applyNumberFormat="1" applyFill="1"/>
    <xf numFmtId="164" fontId="1" fillId="0" borderId="4" xfId="0" applyNumberFormat="1" applyFont="1" applyBorder="1" applyAlignment="1">
      <alignment horizontal="center"/>
    </xf>
    <xf numFmtId="167" fontId="1" fillId="0" borderId="4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4" fontId="0" fillId="0" borderId="17" xfId="0" applyNumberFormat="1" applyBorder="1"/>
    <xf numFmtId="2" fontId="0" fillId="0" borderId="17" xfId="0" applyNumberFormat="1" applyBorder="1"/>
    <xf numFmtId="166" fontId="0" fillId="0" borderId="0" xfId="0" applyNumberFormat="1" applyAlignment="1">
      <alignment horizontal="center"/>
    </xf>
    <xf numFmtId="10" fontId="0" fillId="0" borderId="0" xfId="0" applyNumberFormat="1"/>
    <xf numFmtId="165" fontId="0" fillId="0" borderId="5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4" fillId="0" borderId="0" xfId="0" applyFont="1"/>
    <xf numFmtId="2" fontId="2" fillId="0" borderId="0" xfId="0" applyNumberFormat="1" applyFont="1"/>
    <xf numFmtId="168" fontId="2" fillId="0" borderId="0" xfId="0" applyNumberFormat="1" applyFont="1"/>
    <xf numFmtId="167" fontId="2" fillId="0" borderId="0" xfId="0" applyNumberFormat="1" applyFont="1"/>
    <xf numFmtId="165" fontId="0" fillId="0" borderId="0" xfId="0" applyNumberFormat="1" applyBorder="1"/>
    <xf numFmtId="0" fontId="0" fillId="0" borderId="0" xfId="0" applyBorder="1"/>
    <xf numFmtId="0" fontId="2" fillId="0" borderId="0" xfId="0" applyFont="1" applyBorder="1"/>
    <xf numFmtId="165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0" fillId="0" borderId="0" xfId="0" applyNumberFormat="1" applyBorder="1"/>
    <xf numFmtId="2" fontId="0" fillId="0" borderId="0" xfId="0" applyNumberFormat="1" applyBorder="1"/>
    <xf numFmtId="2" fontId="2" fillId="0" borderId="17" xfId="0" applyNumberFormat="1" applyFont="1" applyBorder="1"/>
    <xf numFmtId="168" fontId="2" fillId="0" borderId="17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2" fillId="0" borderId="0" xfId="3" applyNumberFormat="1" applyFont="1"/>
    <xf numFmtId="0" fontId="0" fillId="0" borderId="0" xfId="0" applyAlignment="1">
      <alignment horizontal="center"/>
    </xf>
    <xf numFmtId="165" fontId="2" fillId="0" borderId="0" xfId="3" applyNumberFormat="1" applyFont="1"/>
    <xf numFmtId="165" fontId="2" fillId="0" borderId="0" xfId="1" applyNumberFormat="1" applyFont="1"/>
    <xf numFmtId="165" fontId="8" fillId="0" borderId="0" xfId="2" applyNumberFormat="1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8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0" fillId="0" borderId="8" xfId="0" applyNumberFormat="1" applyBorder="1" applyAlignment="1">
      <alignment horizontal="center"/>
    </xf>
    <xf numFmtId="168" fontId="1" fillId="0" borderId="6" xfId="0" applyNumberFormat="1" applyFont="1" applyBorder="1" applyAlignment="1">
      <alignment horizontal="center"/>
    </xf>
    <xf numFmtId="167" fontId="2" fillId="0" borderId="17" xfId="0" applyNumberFormat="1" applyFont="1" applyBorder="1"/>
    <xf numFmtId="164" fontId="2" fillId="0" borderId="17" xfId="0" applyNumberFormat="1" applyFont="1" applyBorder="1"/>
    <xf numFmtId="166" fontId="2" fillId="0" borderId="0" xfId="0" applyNumberFormat="1" applyFont="1"/>
    <xf numFmtId="165" fontId="0" fillId="0" borderId="5" xfId="0" applyNumberFormat="1" applyBorder="1" applyAlignment="1">
      <alignment horizontal="center"/>
    </xf>
    <xf numFmtId="168" fontId="2" fillId="0" borderId="0" xfId="0" applyNumberFormat="1" applyFont="1" applyBorder="1"/>
    <xf numFmtId="2" fontId="2" fillId="0" borderId="0" xfId="0" applyNumberFormat="1" applyFont="1" applyBorder="1"/>
    <xf numFmtId="167" fontId="2" fillId="0" borderId="0" xfId="0" applyNumberFormat="1" applyFont="1" applyBorder="1"/>
    <xf numFmtId="2" fontId="0" fillId="0" borderId="8" xfId="0" applyNumberFormat="1" applyBorder="1" applyAlignment="1">
      <alignment horizontal="center"/>
    </xf>
    <xf numFmtId="168" fontId="0" fillId="0" borderId="0" xfId="0" applyNumberFormat="1" applyBorder="1"/>
    <xf numFmtId="168" fontId="0" fillId="0" borderId="17" xfId="0" applyNumberFormat="1" applyBorder="1"/>
    <xf numFmtId="168" fontId="1" fillId="0" borderId="0" xfId="0" applyNumberFormat="1" applyFont="1"/>
    <xf numFmtId="167" fontId="0" fillId="0" borderId="17" xfId="0" applyNumberFormat="1" applyBorder="1"/>
    <xf numFmtId="167" fontId="0" fillId="0" borderId="0" xfId="0" applyNumberFormat="1" applyBorder="1"/>
    <xf numFmtId="167" fontId="1" fillId="0" borderId="0" xfId="0" applyNumberFormat="1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1" fillId="0" borderId="16" xfId="0" applyNumberFormat="1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5" fontId="0" fillId="0" borderId="8" xfId="0" applyNumberForma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168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</cellXfs>
  <cellStyles count="4">
    <cellStyle name="Normal" xfId="0" builtinId="0"/>
    <cellStyle name="Normal_Road Length" xfId="2" xr:uid="{C935DECE-9FFF-4C5A-9873-C026AAF603ED}"/>
    <cellStyle name="Normal_Road Length_1" xfId="1" xr:uid="{00000000-0005-0000-0000-000002000000}"/>
    <cellStyle name="Normal_Road Length_2" xfId="3" xr:uid="{D4325CA5-FFD9-4050-A5C1-797855972A3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My%20Documents/C&amp;E%20Concrete/Milan%20Tinaja%20Lime%20Plant%20Relocation/C&amp;E%20Concrete%20HMA%20Emissions%20175%20tph%201122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Handling"/>
      <sheetName val="Engine"/>
      <sheetName val="Heaters"/>
      <sheetName val="Totals"/>
      <sheetName val="Model"/>
      <sheetName val="Depletion"/>
      <sheetName val="Hours"/>
      <sheetName val="Road"/>
      <sheetName val="border"/>
      <sheetName val="road calc"/>
    </sheetNames>
    <sheetDataSet>
      <sheetData sheetId="0">
        <row r="11">
          <cell r="D11">
            <v>6753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0"/>
  <sheetViews>
    <sheetView topLeftCell="A118" zoomScaleNormal="100" workbookViewId="0">
      <selection activeCell="C131" sqref="C131"/>
    </sheetView>
  </sheetViews>
  <sheetFormatPr defaultRowHeight="12.75" x14ac:dyDescent="0.2"/>
  <cols>
    <col min="1" max="1" width="22.5" customWidth="1"/>
    <col min="2" max="2" width="23.5" customWidth="1"/>
    <col min="3" max="9" width="12.33203125" customWidth="1"/>
    <col min="10" max="10" width="13.33203125" customWidth="1"/>
    <col min="11" max="11" width="19.6640625" customWidth="1"/>
  </cols>
  <sheetData>
    <row r="1" spans="1:7" x14ac:dyDescent="0.2">
      <c r="A1" s="8" t="s">
        <v>56</v>
      </c>
    </row>
    <row r="2" spans="1:7" x14ac:dyDescent="0.2">
      <c r="A2" s="4"/>
      <c r="B2" s="5"/>
      <c r="C2" s="49" t="s">
        <v>105</v>
      </c>
      <c r="D2" s="49" t="s">
        <v>28</v>
      </c>
      <c r="E2" s="49" t="s">
        <v>55</v>
      </c>
    </row>
    <row r="3" spans="1:7" x14ac:dyDescent="0.2">
      <c r="A3" s="4" t="s">
        <v>1</v>
      </c>
      <c r="B3" s="5"/>
      <c r="C3" s="2">
        <v>3881</v>
      </c>
      <c r="D3" s="15">
        <f>+C3*cuydhr/2000</f>
        <v>242.5625</v>
      </c>
      <c r="E3" s="50">
        <f>+D3*D$13</f>
        <v>97025</v>
      </c>
    </row>
    <row r="4" spans="1:7" x14ac:dyDescent="0.2">
      <c r="A4" s="4" t="s">
        <v>2</v>
      </c>
      <c r="B4" s="5"/>
      <c r="C4" s="2">
        <v>1900</v>
      </c>
      <c r="D4" s="15">
        <f t="shared" ref="D4:D7" si="0">+C4*cuydhr/2000</f>
        <v>118.75</v>
      </c>
      <c r="E4" s="50">
        <f t="shared" ref="E4:E8" si="1">+D4*D$13</f>
        <v>47500</v>
      </c>
    </row>
    <row r="5" spans="1:7" x14ac:dyDescent="0.2">
      <c r="A5" s="4" t="s">
        <v>3</v>
      </c>
      <c r="B5" s="5"/>
      <c r="C5" s="2">
        <v>1100</v>
      </c>
      <c r="D5" s="15">
        <f t="shared" si="0"/>
        <v>68.75</v>
      </c>
      <c r="E5" s="50">
        <f t="shared" si="1"/>
        <v>27500</v>
      </c>
      <c r="F5" s="12">
        <f>+E4+E5</f>
        <v>75000</v>
      </c>
      <c r="G5" s="12"/>
    </row>
    <row r="6" spans="1:7" x14ac:dyDescent="0.2">
      <c r="A6" s="4" t="s">
        <v>4</v>
      </c>
      <c r="B6" s="5"/>
      <c r="C6" s="2">
        <v>489</v>
      </c>
      <c r="D6" s="15">
        <f t="shared" si="0"/>
        <v>30.5625</v>
      </c>
      <c r="E6" s="50">
        <f t="shared" si="1"/>
        <v>12225</v>
      </c>
    </row>
    <row r="7" spans="1:7" x14ac:dyDescent="0.2">
      <c r="A7" s="4" t="s">
        <v>5</v>
      </c>
      <c r="B7" s="5"/>
      <c r="C7" s="2">
        <v>132</v>
      </c>
      <c r="D7" s="15">
        <f t="shared" si="0"/>
        <v>8.25</v>
      </c>
      <c r="E7" s="50">
        <f t="shared" si="1"/>
        <v>3300</v>
      </c>
      <c r="F7" s="102" t="s">
        <v>223</v>
      </c>
      <c r="G7" s="103" t="s">
        <v>224</v>
      </c>
    </row>
    <row r="8" spans="1:7" x14ac:dyDescent="0.2">
      <c r="A8" s="4" t="s">
        <v>6</v>
      </c>
      <c r="B8" s="5"/>
      <c r="C8" s="2">
        <v>260</v>
      </c>
      <c r="D8" s="15">
        <f>+C8*cuydhr/2000</f>
        <v>16.25</v>
      </c>
      <c r="E8" s="50">
        <f t="shared" si="1"/>
        <v>6500</v>
      </c>
      <c r="F8" s="19">
        <f>+C8/8.34*cuydhr</f>
        <v>3896.8824940047962</v>
      </c>
      <c r="G8" s="19">
        <f>+F8*D13</f>
        <v>1558752.9976019184</v>
      </c>
    </row>
    <row r="10" spans="1:7" x14ac:dyDescent="0.2">
      <c r="A10" s="10" t="s">
        <v>136</v>
      </c>
      <c r="D10" s="9">
        <v>125</v>
      </c>
      <c r="E10" s="16" t="s">
        <v>7</v>
      </c>
    </row>
    <row r="11" spans="1:7" x14ac:dyDescent="0.2">
      <c r="A11" s="10" t="s">
        <v>136</v>
      </c>
      <c r="D11" s="9">
        <v>1875</v>
      </c>
      <c r="E11" s="16" t="s">
        <v>37</v>
      </c>
    </row>
    <row r="12" spans="1:7" x14ac:dyDescent="0.2">
      <c r="A12" s="10" t="s">
        <v>136</v>
      </c>
      <c r="D12" s="9">
        <v>50000</v>
      </c>
      <c r="E12" s="35" t="s">
        <v>86</v>
      </c>
    </row>
    <row r="13" spans="1:7" x14ac:dyDescent="0.2">
      <c r="A13" s="10" t="s">
        <v>87</v>
      </c>
      <c r="D13" s="57">
        <f>+cuydyr/cuydhr</f>
        <v>400</v>
      </c>
      <c r="E13" s="16" t="s">
        <v>53</v>
      </c>
      <c r="F13" s="10" t="s">
        <v>106</v>
      </c>
    </row>
    <row r="14" spans="1:7" x14ac:dyDescent="0.2">
      <c r="A14" t="s">
        <v>59</v>
      </c>
      <c r="D14" s="57">
        <v>8760</v>
      </c>
      <c r="E14" s="16" t="s">
        <v>53</v>
      </c>
    </row>
    <row r="16" spans="1:7" x14ac:dyDescent="0.2">
      <c r="A16" s="6" t="s">
        <v>34</v>
      </c>
    </row>
    <row r="17" spans="1:7" x14ac:dyDescent="0.2">
      <c r="A17" t="s">
        <v>38</v>
      </c>
      <c r="C17" t="s">
        <v>39</v>
      </c>
    </row>
    <row r="18" spans="1:7" x14ac:dyDescent="0.2">
      <c r="A18" t="s">
        <v>0</v>
      </c>
      <c r="C18">
        <f>+agg/2000*cuydhr</f>
        <v>118.75</v>
      </c>
      <c r="D18" t="s">
        <v>42</v>
      </c>
      <c r="E18">
        <f>+agg/2000*cuydyr</f>
        <v>47500</v>
      </c>
      <c r="F18" t="s">
        <v>54</v>
      </c>
    </row>
    <row r="19" spans="1:7" x14ac:dyDescent="0.2">
      <c r="A19" t="s">
        <v>113</v>
      </c>
      <c r="C19">
        <v>0.74</v>
      </c>
    </row>
    <row r="20" spans="1:7" x14ac:dyDescent="0.2">
      <c r="A20" t="s">
        <v>40</v>
      </c>
      <c r="C20">
        <v>0.35</v>
      </c>
    </row>
    <row r="21" spans="1:7" x14ac:dyDescent="0.2">
      <c r="A21" t="s">
        <v>66</v>
      </c>
      <c r="C21">
        <v>5.2999999999999999E-2</v>
      </c>
    </row>
    <row r="22" spans="1:7" x14ac:dyDescent="0.2">
      <c r="A22" t="s">
        <v>138</v>
      </c>
      <c r="C22">
        <v>11</v>
      </c>
      <c r="D22" t="s">
        <v>8</v>
      </c>
      <c r="E22" t="s">
        <v>140</v>
      </c>
    </row>
    <row r="23" spans="1:7" x14ac:dyDescent="0.2">
      <c r="A23" t="s">
        <v>139</v>
      </c>
      <c r="C23">
        <v>8.3000000000000007</v>
      </c>
      <c r="D23" t="s">
        <v>8</v>
      </c>
      <c r="E23" t="s">
        <v>141</v>
      </c>
    </row>
    <row r="24" spans="1:7" x14ac:dyDescent="0.2">
      <c r="A24" t="s">
        <v>41</v>
      </c>
      <c r="C24">
        <v>1.77</v>
      </c>
      <c r="D24" t="s">
        <v>9</v>
      </c>
      <c r="E24" s="10" t="s">
        <v>88</v>
      </c>
    </row>
    <row r="25" spans="1:7" x14ac:dyDescent="0.2">
      <c r="F25" s="139"/>
      <c r="G25" s="139"/>
    </row>
    <row r="26" spans="1:7" x14ac:dyDescent="0.2">
      <c r="C26" s="3" t="s">
        <v>10</v>
      </c>
      <c r="D26" s="3" t="s">
        <v>55</v>
      </c>
    </row>
    <row r="27" spans="1:7" x14ac:dyDescent="0.2">
      <c r="A27" t="s">
        <v>114</v>
      </c>
      <c r="C27" s="7">
        <f>+C19*0.0032*(C22/5)^1.3/(C24/2)^1.4*C18</f>
        <v>0.92991707543603852</v>
      </c>
      <c r="D27" s="7">
        <f>+C27*unhrsyr/2000</f>
        <v>4.0730367904098488</v>
      </c>
    </row>
    <row r="28" spans="1:7" x14ac:dyDescent="0.2">
      <c r="A28" t="s">
        <v>46</v>
      </c>
      <c r="C28" s="7">
        <f>+C20*0.0032*(C22/5)^1.3/(C24/2)^1.4*C18</f>
        <v>0.43982564378731542</v>
      </c>
      <c r="D28" s="7">
        <f>+C28*unhrsyr/2000</f>
        <v>1.9264363197884415</v>
      </c>
    </row>
    <row r="29" spans="1:7" x14ac:dyDescent="0.2">
      <c r="A29" t="s">
        <v>67</v>
      </c>
      <c r="C29" s="7">
        <f>+C21*0.0032*(C22/5)^1.3/(C24/2)^1.4*C18</f>
        <v>6.6602168916364918E-2</v>
      </c>
      <c r="D29" s="7">
        <f>+C29*unhrsyr/2000</f>
        <v>0.29171749985367834</v>
      </c>
    </row>
    <row r="30" spans="1:7" x14ac:dyDescent="0.2">
      <c r="C30" s="7"/>
      <c r="D30" s="7"/>
    </row>
    <row r="31" spans="1:7" x14ac:dyDescent="0.2">
      <c r="C31" s="69" t="s">
        <v>10</v>
      </c>
      <c r="D31" s="69" t="s">
        <v>55</v>
      </c>
      <c r="E31" t="s">
        <v>142</v>
      </c>
    </row>
    <row r="32" spans="1:7" x14ac:dyDescent="0.2">
      <c r="A32" t="s">
        <v>115</v>
      </c>
      <c r="C32" s="7">
        <f>+C19*0.0032*(C22/5)^1.3/(C24/2)^1.4*C18</f>
        <v>0.92991707543603852</v>
      </c>
      <c r="D32" s="7">
        <f>+C19*0.0032*(C23/5)^1.3/(C24/2)^1.4*E18/2000</f>
        <v>0.12896303567507236</v>
      </c>
      <c r="E32" s="7">
        <f>+C19*0.0032*(C23/5)^1.3/(C24/2)^1.4*C18</f>
        <v>0.64481517837536195</v>
      </c>
      <c r="F32" s="10" t="s">
        <v>110</v>
      </c>
    </row>
    <row r="33" spans="1:7" x14ac:dyDescent="0.2">
      <c r="A33" t="s">
        <v>33</v>
      </c>
      <c r="C33" s="7">
        <f>+C20*0.0032*(C22/5)^1.3/(C24/2)^1.4*C18</f>
        <v>0.43982564378731542</v>
      </c>
      <c r="D33" s="7">
        <f>+C20*0.0032*(C23/5)^1.3/(C24/2)^1.4*E18/2000</f>
        <v>6.0996030386858559E-2</v>
      </c>
      <c r="E33" s="7">
        <f>+C20*0.0032*(C23/5)^1.3/(C24/2)^1.4*C18</f>
        <v>0.30498015193429279</v>
      </c>
      <c r="F33" s="10" t="s">
        <v>110</v>
      </c>
    </row>
    <row r="34" spans="1:7" x14ac:dyDescent="0.2">
      <c r="A34" t="s">
        <v>65</v>
      </c>
      <c r="C34" s="7">
        <f>+C21*0.0032*(C22/5)^1.3/(C24/2)^1.4*C18</f>
        <v>6.6602168916364918E-2</v>
      </c>
      <c r="D34" s="7">
        <f>+C21*0.0032*(C23/5)^1.3/(C24/2)^1.4*E18/2000</f>
        <v>9.2365417442957266E-3</v>
      </c>
      <c r="E34" s="7">
        <f>+C21*0.0032*(C23/5)^1.3/(C24/2)^1.4*C18</f>
        <v>4.618270872147863E-2</v>
      </c>
      <c r="F34" s="10" t="s">
        <v>110</v>
      </c>
    </row>
    <row r="35" spans="1:7" x14ac:dyDescent="0.2">
      <c r="C35" s="1"/>
      <c r="D35" s="1"/>
    </row>
    <row r="36" spans="1:7" x14ac:dyDescent="0.2">
      <c r="A36" s="6" t="s">
        <v>35</v>
      </c>
    </row>
    <row r="37" spans="1:7" x14ac:dyDescent="0.2">
      <c r="A37" t="s">
        <v>38</v>
      </c>
      <c r="C37" t="s">
        <v>39</v>
      </c>
    </row>
    <row r="38" spans="1:7" x14ac:dyDescent="0.2">
      <c r="A38" t="s">
        <v>0</v>
      </c>
      <c r="C38">
        <f>+sand/2000*cuydhr</f>
        <v>68.75</v>
      </c>
      <c r="D38" t="s">
        <v>42</v>
      </c>
      <c r="E38">
        <f>+sand/2000*cuydyr</f>
        <v>27500.000000000004</v>
      </c>
      <c r="F38" t="s">
        <v>54</v>
      </c>
    </row>
    <row r="39" spans="1:7" x14ac:dyDescent="0.2">
      <c r="A39" t="s">
        <v>113</v>
      </c>
      <c r="C39">
        <v>0.74</v>
      </c>
    </row>
    <row r="40" spans="1:7" x14ac:dyDescent="0.2">
      <c r="A40" t="s">
        <v>40</v>
      </c>
      <c r="C40">
        <v>0.35</v>
      </c>
    </row>
    <row r="41" spans="1:7" x14ac:dyDescent="0.2">
      <c r="A41" t="s">
        <v>66</v>
      </c>
      <c r="C41">
        <v>5.2999999999999999E-2</v>
      </c>
    </row>
    <row r="42" spans="1:7" x14ac:dyDescent="0.2">
      <c r="A42" t="s">
        <v>138</v>
      </c>
      <c r="C42">
        <v>11</v>
      </c>
      <c r="D42" t="s">
        <v>8</v>
      </c>
      <c r="E42" t="s">
        <v>140</v>
      </c>
    </row>
    <row r="43" spans="1:7" x14ac:dyDescent="0.2">
      <c r="A43" t="s">
        <v>139</v>
      </c>
      <c r="C43">
        <v>8.3000000000000007</v>
      </c>
      <c r="D43" t="s">
        <v>8</v>
      </c>
      <c r="E43" t="s">
        <v>141</v>
      </c>
    </row>
    <row r="44" spans="1:7" x14ac:dyDescent="0.2">
      <c r="A44" t="s">
        <v>41</v>
      </c>
      <c r="C44">
        <v>4.17</v>
      </c>
      <c r="D44" t="s">
        <v>9</v>
      </c>
      <c r="E44" s="10" t="s">
        <v>88</v>
      </c>
    </row>
    <row r="45" spans="1:7" x14ac:dyDescent="0.2">
      <c r="F45" s="139"/>
      <c r="G45" s="139"/>
    </row>
    <row r="46" spans="1:7" x14ac:dyDescent="0.2">
      <c r="C46" s="3" t="s">
        <v>10</v>
      </c>
      <c r="D46" s="3" t="s">
        <v>55</v>
      </c>
    </row>
    <row r="47" spans="1:7" x14ac:dyDescent="0.2">
      <c r="A47" t="s">
        <v>114</v>
      </c>
      <c r="C47" s="7">
        <f>+C39*0.0032*(C42/5)^1.3/(C44/2)^1.4*C38</f>
        <v>0.1622017003530708</v>
      </c>
      <c r="D47" s="7">
        <f>+C47*unhrsyr/2000</f>
        <v>0.71044344754645006</v>
      </c>
    </row>
    <row r="48" spans="1:7" x14ac:dyDescent="0.2">
      <c r="A48" t="s">
        <v>46</v>
      </c>
      <c r="C48" s="7">
        <f>+C40*0.0032*(C42/5)^1.3/(C44/2)^1.4*C38</f>
        <v>7.6717020437263223E-2</v>
      </c>
      <c r="D48" s="7">
        <f>+C48*unhrsyr/2000</f>
        <v>0.33602054951521293</v>
      </c>
    </row>
    <row r="49" spans="1:6" x14ac:dyDescent="0.2">
      <c r="A49" t="s">
        <v>67</v>
      </c>
      <c r="C49" s="7">
        <f>+C41*0.0032*(C42/5)^1.3/(C44/2)^1.4*C38</f>
        <v>1.1617148809071288E-2</v>
      </c>
      <c r="D49" s="7">
        <f>+C49*unhrsyr/2000</f>
        <v>5.0883111783732241E-2</v>
      </c>
    </row>
    <row r="50" spans="1:6" x14ac:dyDescent="0.2">
      <c r="C50" s="7"/>
      <c r="D50" s="7"/>
    </row>
    <row r="51" spans="1:6" x14ac:dyDescent="0.2">
      <c r="C51" s="69" t="s">
        <v>10</v>
      </c>
      <c r="D51" s="69" t="s">
        <v>55</v>
      </c>
      <c r="E51" t="s">
        <v>142</v>
      </c>
    </row>
    <row r="52" spans="1:6" x14ac:dyDescent="0.2">
      <c r="A52" t="s">
        <v>115</v>
      </c>
      <c r="C52" s="7">
        <f>+C39*0.0032*(C42/5)^1.3/(C44/2)^1.4*C38</f>
        <v>0.1622017003530708</v>
      </c>
      <c r="D52" s="7">
        <f>+C39*0.0032*(C43/5)^1.3/(C44/2)^1.4*E38/2000</f>
        <v>2.2494504318443673E-2</v>
      </c>
      <c r="E52" s="7">
        <f>+C39*0.0032*(C43/5)^1.3/(C44/2)^1.4*C38</f>
        <v>0.11247252159221835</v>
      </c>
      <c r="F52" s="10" t="s">
        <v>110</v>
      </c>
    </row>
    <row r="53" spans="1:6" x14ac:dyDescent="0.2">
      <c r="A53" t="s">
        <v>33</v>
      </c>
      <c r="C53" s="7">
        <f>+C40*0.0032*(C42/5)^1.3/(C44/2)^1.4*C38</f>
        <v>7.6717020437263223E-2</v>
      </c>
      <c r="D53" s="7">
        <f>+C40*0.0032*(C43/5)^1.3/(C44/2)^1.4*E38/2000</f>
        <v>1.0639292583047683E-2</v>
      </c>
      <c r="E53" s="7">
        <f>+C40*0.0032*(C43/5)^1.3/(C44/2)^1.4*C38</f>
        <v>5.3196462915238406E-2</v>
      </c>
      <c r="F53" s="10" t="s">
        <v>110</v>
      </c>
    </row>
    <row r="54" spans="1:6" x14ac:dyDescent="0.2">
      <c r="A54" t="s">
        <v>65</v>
      </c>
      <c r="C54" s="7">
        <f>+C41*0.0032*(C42/5)^1.3/(C44/2)^1.4*C38</f>
        <v>1.1617148809071288E-2</v>
      </c>
      <c r="D54" s="7">
        <f>+C41*0.0032*(C43/5)^1.3/(C44/2)^1.4*E38/2000</f>
        <v>1.6110928768615065E-3</v>
      </c>
      <c r="E54" s="7">
        <f>+C41*0.0032*(C43/5)^1.3/(C44/2)^1.4*C38</f>
        <v>8.055464384307532E-3</v>
      </c>
      <c r="F54" s="10" t="s">
        <v>110</v>
      </c>
    </row>
    <row r="55" spans="1:6" x14ac:dyDescent="0.2">
      <c r="C55" s="1"/>
      <c r="D55" s="1"/>
    </row>
    <row r="56" spans="1:6" x14ac:dyDescent="0.2">
      <c r="A56" s="6" t="s">
        <v>80</v>
      </c>
    </row>
    <row r="57" spans="1:6" x14ac:dyDescent="0.2">
      <c r="A57" t="s">
        <v>38</v>
      </c>
      <c r="C57" t="s">
        <v>39</v>
      </c>
    </row>
    <row r="58" spans="1:6" x14ac:dyDescent="0.2">
      <c r="A58" t="s">
        <v>0</v>
      </c>
      <c r="C58">
        <f>+(agg+sand)/2000*cuydhr</f>
        <v>187.5</v>
      </c>
      <c r="D58" t="s">
        <v>42</v>
      </c>
      <c r="E58">
        <f>+(agg+sand)/2000*cuydyr</f>
        <v>75000</v>
      </c>
      <c r="F58" t="s">
        <v>54</v>
      </c>
    </row>
    <row r="59" spans="1:6" x14ac:dyDescent="0.2">
      <c r="A59" t="s">
        <v>113</v>
      </c>
      <c r="C59">
        <v>0.74</v>
      </c>
    </row>
    <row r="60" spans="1:6" x14ac:dyDescent="0.2">
      <c r="A60" t="s">
        <v>40</v>
      </c>
      <c r="C60">
        <v>0.35</v>
      </c>
    </row>
    <row r="61" spans="1:6" x14ac:dyDescent="0.2">
      <c r="A61" t="s">
        <v>66</v>
      </c>
      <c r="C61">
        <v>5.2999999999999999E-2</v>
      </c>
    </row>
    <row r="62" spans="1:6" x14ac:dyDescent="0.2">
      <c r="A62" t="s">
        <v>138</v>
      </c>
      <c r="C62">
        <v>11</v>
      </c>
      <c r="D62" t="s">
        <v>8</v>
      </c>
      <c r="E62" t="s">
        <v>140</v>
      </c>
    </row>
    <row r="63" spans="1:6" x14ac:dyDescent="0.2">
      <c r="A63" t="s">
        <v>139</v>
      </c>
      <c r="C63">
        <v>8.3000000000000007</v>
      </c>
      <c r="D63" t="s">
        <v>8</v>
      </c>
      <c r="E63" t="s">
        <v>141</v>
      </c>
    </row>
    <row r="64" spans="1:6" x14ac:dyDescent="0.2">
      <c r="A64" t="s">
        <v>41</v>
      </c>
      <c r="C64">
        <f>+(C24*D4+C44*D5)/(D4+D5)</f>
        <v>2.65</v>
      </c>
      <c r="D64" t="s">
        <v>9</v>
      </c>
      <c r="E64" s="10" t="s">
        <v>107</v>
      </c>
    </row>
    <row r="65" spans="1:8" x14ac:dyDescent="0.2">
      <c r="F65" s="139"/>
      <c r="G65" s="139"/>
    </row>
    <row r="66" spans="1:8" x14ac:dyDescent="0.2">
      <c r="C66" s="3" t="s">
        <v>10</v>
      </c>
      <c r="D66" s="3" t="s">
        <v>55</v>
      </c>
    </row>
    <row r="67" spans="1:8" x14ac:dyDescent="0.2">
      <c r="A67" t="s">
        <v>114</v>
      </c>
      <c r="C67" s="7">
        <f>+C59*0.0032*(C62/5)^1.3/(C64/2)^1.4*C58</f>
        <v>0.8345074642940935</v>
      </c>
      <c r="D67" s="7">
        <f>+C67*unhrsyr/2000</f>
        <v>3.6551426936081293</v>
      </c>
    </row>
    <row r="68" spans="1:8" x14ac:dyDescent="0.2">
      <c r="A68" t="s">
        <v>46</v>
      </c>
      <c r="C68" s="7">
        <f>+C60*0.0032*(C62/5)^1.3/(C64/2)^1.4*C58</f>
        <v>0.39469947635531449</v>
      </c>
      <c r="D68" s="7">
        <f>+C68*unhrsyr/2000</f>
        <v>1.7287837064362774</v>
      </c>
    </row>
    <row r="69" spans="1:8" x14ac:dyDescent="0.2">
      <c r="A69" t="s">
        <v>67</v>
      </c>
      <c r="C69" s="7">
        <f>+C61*0.0032*(C62/5)^1.3/(C64/2)^1.4*C58</f>
        <v>5.9768777848090489E-2</v>
      </c>
      <c r="D69" s="7">
        <f>+C69*unhrsyr/2000</f>
        <v>0.26178724697463635</v>
      </c>
    </row>
    <row r="70" spans="1:8" x14ac:dyDescent="0.2">
      <c r="C70" s="7"/>
      <c r="D70" s="7"/>
    </row>
    <row r="71" spans="1:8" x14ac:dyDescent="0.2">
      <c r="C71" s="3" t="s">
        <v>10</v>
      </c>
      <c r="D71" s="3" t="s">
        <v>55</v>
      </c>
      <c r="E71" t="s">
        <v>142</v>
      </c>
    </row>
    <row r="72" spans="1:8" x14ac:dyDescent="0.2">
      <c r="A72" t="s">
        <v>114</v>
      </c>
      <c r="C72" s="7">
        <f>+C59*0.0032*(C62/5)^1.3/(C64/2)^1.4*C58</f>
        <v>0.8345074642940935</v>
      </c>
      <c r="D72" s="7">
        <f>+C59*0.0032*(C63/5)^1.3/(C64/2)^1.4*E58/2000</f>
        <v>0.11573141168357409</v>
      </c>
      <c r="E72" s="7">
        <f>+C59*0.0032*(C63/5)^1.3/(C64/2)^1.4*C58</f>
        <v>0.57865705841787052</v>
      </c>
      <c r="F72" s="10" t="s">
        <v>110</v>
      </c>
    </row>
    <row r="73" spans="1:8" x14ac:dyDescent="0.2">
      <c r="A73" t="s">
        <v>46</v>
      </c>
      <c r="C73" s="7">
        <f>+C60*0.0032*(C62/5)^1.3/(C64/2)^1.4*C58</f>
        <v>0.39469947635531449</v>
      </c>
      <c r="D73" s="7">
        <f>+C60*0.0032*(C63/5)^1.3/(C64/2)^1.4*E58/2000</f>
        <v>5.4737829850339099E-2</v>
      </c>
      <c r="E73" s="7">
        <f>+C60*0.0032*(C63/5)^1.3/(C64/2)^1.4*C58</f>
        <v>0.27368914925169546</v>
      </c>
      <c r="F73" s="10" t="s">
        <v>110</v>
      </c>
    </row>
    <row r="74" spans="1:8" x14ac:dyDescent="0.2">
      <c r="A74" t="s">
        <v>67</v>
      </c>
      <c r="C74" s="7">
        <f>+C61*0.0032*(C62/5)^1.3/(C64/2)^1.4*C58</f>
        <v>5.9768777848090489E-2</v>
      </c>
      <c r="D74" s="7">
        <f>+C61*0.0032*(C63/5)^1.3/(C64/2)^1.4*E58/2000</f>
        <v>8.2888713773370641E-3</v>
      </c>
      <c r="E74" s="7">
        <f>+C61*0.0032*(C63/5)^1.3/(C64/2)^1.4*C58</f>
        <v>4.1444356886685317E-2</v>
      </c>
      <c r="F74" s="10" t="s">
        <v>110</v>
      </c>
    </row>
    <row r="75" spans="1:8" x14ac:dyDescent="0.2">
      <c r="C75" s="1"/>
      <c r="D75" s="1"/>
    </row>
    <row r="76" spans="1:8" x14ac:dyDescent="0.2">
      <c r="A76" s="6" t="s">
        <v>81</v>
      </c>
    </row>
    <row r="77" spans="1:8" x14ac:dyDescent="0.2">
      <c r="A77" s="10" t="s">
        <v>68</v>
      </c>
    </row>
    <row r="78" spans="1:8" x14ac:dyDescent="0.2">
      <c r="A78" t="s">
        <v>0</v>
      </c>
      <c r="C78">
        <f>+(agg+sand)/2000*cuydhr</f>
        <v>187.5</v>
      </c>
      <c r="D78" t="s">
        <v>42</v>
      </c>
      <c r="E78">
        <f>+(agg+sand)/2000*cuydday</f>
        <v>2812.5</v>
      </c>
      <c r="F78" t="s">
        <v>43</v>
      </c>
      <c r="G78">
        <f>+(agg+sand)/2000*cuydyr</f>
        <v>75000</v>
      </c>
      <c r="H78" t="s">
        <v>54</v>
      </c>
    </row>
    <row r="79" spans="1:8" x14ac:dyDescent="0.2">
      <c r="A79" t="s">
        <v>114</v>
      </c>
      <c r="C79">
        <v>3.0000000000000001E-3</v>
      </c>
      <c r="D79" t="s">
        <v>44</v>
      </c>
    </row>
    <row r="80" spans="1:8" x14ac:dyDescent="0.2">
      <c r="A80" t="s">
        <v>46</v>
      </c>
      <c r="C80">
        <v>1.1000000000000001E-3</v>
      </c>
      <c r="D80" t="s">
        <v>44</v>
      </c>
    </row>
    <row r="81" spans="1:7" x14ac:dyDescent="0.2">
      <c r="A81" t="s">
        <v>67</v>
      </c>
      <c r="C81" s="20">
        <f>+C80*0.053/0.35</f>
        <v>1.6657142857142858E-4</v>
      </c>
      <c r="D81" t="s">
        <v>44</v>
      </c>
    </row>
    <row r="82" spans="1:7" x14ac:dyDescent="0.2">
      <c r="F82" s="139"/>
      <c r="G82" s="139"/>
    </row>
    <row r="83" spans="1:7" x14ac:dyDescent="0.2">
      <c r="C83" s="3" t="s">
        <v>10</v>
      </c>
      <c r="D83" s="3" t="s">
        <v>55</v>
      </c>
    </row>
    <row r="84" spans="1:7" x14ac:dyDescent="0.2">
      <c r="A84" t="s">
        <v>114</v>
      </c>
      <c r="C84" s="7">
        <f>+C79*C78</f>
        <v>0.5625</v>
      </c>
      <c r="D84" s="7">
        <f>+C84*unhrsyr/2000</f>
        <v>2.4637500000000001</v>
      </c>
    </row>
    <row r="85" spans="1:7" x14ac:dyDescent="0.2">
      <c r="A85" t="s">
        <v>46</v>
      </c>
      <c r="C85" s="7">
        <f>+C80*C78</f>
        <v>0.20625000000000002</v>
      </c>
      <c r="D85" s="7">
        <f>+C85*unhrsyr/2000</f>
        <v>0.90337500000000015</v>
      </c>
    </row>
    <row r="86" spans="1:7" x14ac:dyDescent="0.2">
      <c r="A86" t="s">
        <v>46</v>
      </c>
      <c r="C86" s="7">
        <f>+C81*C78</f>
        <v>3.1232142857142858E-2</v>
      </c>
      <c r="D86" s="7">
        <f>+C86*unhrsyr/2000</f>
        <v>0.13679678571428572</v>
      </c>
    </row>
    <row r="87" spans="1:7" x14ac:dyDescent="0.2">
      <c r="C87" s="7"/>
      <c r="D87" s="7"/>
    </row>
    <row r="88" spans="1:7" x14ac:dyDescent="0.2">
      <c r="A88" t="s">
        <v>115</v>
      </c>
      <c r="C88">
        <v>1.3999999999999999E-4</v>
      </c>
      <c r="D88" t="s">
        <v>44</v>
      </c>
    </row>
    <row r="89" spans="1:7" x14ac:dyDescent="0.2">
      <c r="A89" t="s">
        <v>33</v>
      </c>
      <c r="C89">
        <v>4.6E-5</v>
      </c>
      <c r="D89" t="s">
        <v>44</v>
      </c>
      <c r="F89" s="92">
        <f>+(1-C89/C80)</f>
        <v>0.95818181818181813</v>
      </c>
      <c r="G89" s="10" t="s">
        <v>101</v>
      </c>
    </row>
    <row r="90" spans="1:7" x14ac:dyDescent="0.2">
      <c r="A90" t="s">
        <v>65</v>
      </c>
      <c r="C90" s="20">
        <v>1.2999999999999999E-5</v>
      </c>
      <c r="D90" t="s">
        <v>44</v>
      </c>
    </row>
    <row r="91" spans="1:7" x14ac:dyDescent="0.2">
      <c r="C91" s="7"/>
      <c r="D91" s="7"/>
    </row>
    <row r="92" spans="1:7" x14ac:dyDescent="0.2">
      <c r="C92" s="3" t="s">
        <v>10</v>
      </c>
      <c r="D92" s="3" t="s">
        <v>55</v>
      </c>
    </row>
    <row r="93" spans="1:7" x14ac:dyDescent="0.2">
      <c r="A93" t="s">
        <v>115</v>
      </c>
      <c r="C93" s="7">
        <f>+C88*C78</f>
        <v>2.6249999999999999E-2</v>
      </c>
      <c r="D93" s="7">
        <f>+C88*G$78/2000</f>
        <v>5.2499999999999995E-3</v>
      </c>
      <c r="E93" s="10" t="s">
        <v>110</v>
      </c>
    </row>
    <row r="94" spans="1:7" x14ac:dyDescent="0.2">
      <c r="A94" t="s">
        <v>33</v>
      </c>
      <c r="C94" s="7">
        <f>+C89*C78</f>
        <v>8.6250000000000007E-3</v>
      </c>
      <c r="D94" s="7">
        <f>+C89*G$78/2000</f>
        <v>1.7250000000000002E-3</v>
      </c>
      <c r="E94" s="10" t="s">
        <v>110</v>
      </c>
    </row>
    <row r="95" spans="1:7" x14ac:dyDescent="0.2">
      <c r="A95" t="s">
        <v>33</v>
      </c>
      <c r="C95" s="7">
        <f>+C90*C78</f>
        <v>2.4375E-3</v>
      </c>
      <c r="D95" s="7">
        <f>+C90*G$78/2000</f>
        <v>4.8749999999999998E-4</v>
      </c>
      <c r="E95" s="10" t="s">
        <v>110</v>
      </c>
    </row>
    <row r="96" spans="1:7" x14ac:dyDescent="0.2">
      <c r="C96" s="7"/>
      <c r="D96" s="7"/>
      <c r="F96" s="7"/>
      <c r="G96" s="7"/>
    </row>
    <row r="97" spans="1:7" x14ac:dyDescent="0.2">
      <c r="A97" s="6" t="s">
        <v>36</v>
      </c>
    </row>
    <row r="98" spans="1:7" x14ac:dyDescent="0.2">
      <c r="A98" s="10" t="s">
        <v>68</v>
      </c>
    </row>
    <row r="99" spans="1:7" x14ac:dyDescent="0.2">
      <c r="A99" t="s">
        <v>0</v>
      </c>
      <c r="C99">
        <f>+(agg+sand)/2000*cuydhr</f>
        <v>187.5</v>
      </c>
      <c r="D99" t="s">
        <v>42</v>
      </c>
      <c r="E99">
        <f>+(agg+sand)/2000*cuydyr</f>
        <v>75000</v>
      </c>
      <c r="F99" t="s">
        <v>54</v>
      </c>
    </row>
    <row r="100" spans="1:7" x14ac:dyDescent="0.2">
      <c r="A100" t="s">
        <v>114</v>
      </c>
      <c r="C100">
        <v>3.0000000000000001E-3</v>
      </c>
      <c r="D100" t="s">
        <v>44</v>
      </c>
    </row>
    <row r="101" spans="1:7" x14ac:dyDescent="0.2">
      <c r="A101" t="s">
        <v>46</v>
      </c>
      <c r="C101">
        <v>1.1000000000000001E-3</v>
      </c>
      <c r="D101" t="s">
        <v>44</v>
      </c>
    </row>
    <row r="102" spans="1:7" x14ac:dyDescent="0.2">
      <c r="A102" t="s">
        <v>67</v>
      </c>
      <c r="C102" s="20">
        <f>+C101*0.053/0.35</f>
        <v>1.6657142857142858E-4</v>
      </c>
      <c r="D102" t="s">
        <v>44</v>
      </c>
    </row>
    <row r="103" spans="1:7" x14ac:dyDescent="0.2">
      <c r="F103" s="3"/>
      <c r="G103" s="3"/>
    </row>
    <row r="104" spans="1:7" x14ac:dyDescent="0.2">
      <c r="C104" s="3" t="s">
        <v>10</v>
      </c>
      <c r="D104" s="3" t="s">
        <v>55</v>
      </c>
    </row>
    <row r="105" spans="1:7" x14ac:dyDescent="0.2">
      <c r="A105" t="s">
        <v>114</v>
      </c>
      <c r="C105" s="7">
        <f>+C100*C99</f>
        <v>0.5625</v>
      </c>
      <c r="D105" s="7">
        <f>+C105*unhrsyr/2000</f>
        <v>2.4637500000000001</v>
      </c>
    </row>
    <row r="106" spans="1:7" x14ac:dyDescent="0.2">
      <c r="A106" t="s">
        <v>46</v>
      </c>
      <c r="C106" s="7">
        <f>+C101*C99</f>
        <v>0.20625000000000002</v>
      </c>
      <c r="D106" s="7">
        <f>+C106*unhrsyr/2000</f>
        <v>0.90337500000000015</v>
      </c>
    </row>
    <row r="107" spans="1:7" x14ac:dyDescent="0.2">
      <c r="A107" t="s">
        <v>67</v>
      </c>
      <c r="C107" s="7">
        <f>+C102*C99</f>
        <v>3.1232142857142858E-2</v>
      </c>
      <c r="D107" s="7">
        <f>+C107*unhrsyr/2000</f>
        <v>0.13679678571428572</v>
      </c>
    </row>
    <row r="108" spans="1:7" x14ac:dyDescent="0.2">
      <c r="C108" s="7"/>
      <c r="D108" s="7"/>
    </row>
    <row r="109" spans="1:7" x14ac:dyDescent="0.2">
      <c r="A109" t="s">
        <v>115</v>
      </c>
      <c r="C109">
        <v>1.3999999999999999E-4</v>
      </c>
      <c r="D109" t="s">
        <v>44</v>
      </c>
    </row>
    <row r="110" spans="1:7" x14ac:dyDescent="0.2">
      <c r="A110" t="s">
        <v>33</v>
      </c>
      <c r="C110">
        <v>4.6E-5</v>
      </c>
      <c r="D110" t="s">
        <v>44</v>
      </c>
      <c r="F110" s="92">
        <f>+(1-C110/C101)</f>
        <v>0.95818181818181813</v>
      </c>
      <c r="G110" s="10" t="s">
        <v>101</v>
      </c>
    </row>
    <row r="111" spans="1:7" x14ac:dyDescent="0.2">
      <c r="A111" t="s">
        <v>65</v>
      </c>
      <c r="C111" s="20">
        <v>1.2999999999999999E-5</v>
      </c>
      <c r="D111" t="s">
        <v>44</v>
      </c>
    </row>
    <row r="112" spans="1:7" x14ac:dyDescent="0.2">
      <c r="C112" s="7"/>
      <c r="D112" s="7"/>
    </row>
    <row r="113" spans="1:7" x14ac:dyDescent="0.2">
      <c r="C113" s="3" t="s">
        <v>10</v>
      </c>
      <c r="D113" s="3" t="s">
        <v>55</v>
      </c>
    </row>
    <row r="114" spans="1:7" x14ac:dyDescent="0.2">
      <c r="A114" s="10" t="s">
        <v>115</v>
      </c>
      <c r="C114" s="7">
        <f>+C109*C$99</f>
        <v>2.6249999999999999E-2</v>
      </c>
      <c r="D114" s="7">
        <f>+C109*E$99/2000</f>
        <v>5.2499999999999995E-3</v>
      </c>
      <c r="E114" s="10" t="s">
        <v>110</v>
      </c>
    </row>
    <row r="115" spans="1:7" x14ac:dyDescent="0.2">
      <c r="A115" s="10" t="s">
        <v>33</v>
      </c>
      <c r="C115" s="7">
        <f t="shared" ref="C115:C116" si="2">+C110*C$99</f>
        <v>8.6250000000000007E-3</v>
      </c>
      <c r="D115" s="7">
        <f t="shared" ref="D115:D116" si="3">+C110*E$99/2000</f>
        <v>1.7250000000000002E-3</v>
      </c>
      <c r="E115" s="10" t="s">
        <v>110</v>
      </c>
    </row>
    <row r="116" spans="1:7" x14ac:dyDescent="0.2">
      <c r="A116" s="10" t="s">
        <v>65</v>
      </c>
      <c r="C116" s="7">
        <f t="shared" si="2"/>
        <v>2.4375E-3</v>
      </c>
      <c r="D116" s="7">
        <f t="shared" si="3"/>
        <v>4.8749999999999998E-4</v>
      </c>
      <c r="E116" s="10" t="s">
        <v>110</v>
      </c>
    </row>
    <row r="117" spans="1:7" x14ac:dyDescent="0.2">
      <c r="C117" s="1"/>
      <c r="D117" s="1"/>
    </row>
    <row r="118" spans="1:7" x14ac:dyDescent="0.2">
      <c r="A118" s="6" t="s">
        <v>196</v>
      </c>
    </row>
    <row r="119" spans="1:7" x14ac:dyDescent="0.2">
      <c r="A119" t="s">
        <v>68</v>
      </c>
    </row>
    <row r="120" spans="1:7" x14ac:dyDescent="0.2">
      <c r="A120" t="s">
        <v>0</v>
      </c>
      <c r="C120">
        <f>+(agg+sand)/2000*cuydhr</f>
        <v>187.5</v>
      </c>
      <c r="D120" t="s">
        <v>42</v>
      </c>
      <c r="E120">
        <f>+(agg+sand)/2000*cuydyr</f>
        <v>75000</v>
      </c>
      <c r="F120" t="s">
        <v>54</v>
      </c>
    </row>
    <row r="121" spans="1:7" x14ac:dyDescent="0.2">
      <c r="A121" t="s">
        <v>114</v>
      </c>
      <c r="C121">
        <v>3.0000000000000001E-3</v>
      </c>
      <c r="D121" t="s">
        <v>44</v>
      </c>
    </row>
    <row r="122" spans="1:7" x14ac:dyDescent="0.2">
      <c r="A122" t="s">
        <v>46</v>
      </c>
      <c r="C122">
        <v>1.1000000000000001E-3</v>
      </c>
      <c r="D122" t="s">
        <v>44</v>
      </c>
    </row>
    <row r="123" spans="1:7" x14ac:dyDescent="0.2">
      <c r="A123" t="s">
        <v>67</v>
      </c>
      <c r="C123" s="20">
        <f>+C122*0.053/0.35</f>
        <v>1.6657142857142858E-4</v>
      </c>
      <c r="D123" t="s">
        <v>44</v>
      </c>
    </row>
    <row r="124" spans="1:7" x14ac:dyDescent="0.2">
      <c r="F124" s="139"/>
      <c r="G124" s="139"/>
    </row>
    <row r="125" spans="1:7" x14ac:dyDescent="0.2">
      <c r="C125" s="3" t="s">
        <v>10</v>
      </c>
      <c r="D125" s="3" t="s">
        <v>55</v>
      </c>
    </row>
    <row r="126" spans="1:7" x14ac:dyDescent="0.2">
      <c r="A126" t="s">
        <v>114</v>
      </c>
      <c r="C126" s="7">
        <f>+C121*C120</f>
        <v>0.5625</v>
      </c>
      <c r="D126" s="7">
        <f>+C126*unhrsyr/2000</f>
        <v>2.4637500000000001</v>
      </c>
    </row>
    <row r="127" spans="1:7" x14ac:dyDescent="0.2">
      <c r="A127" t="s">
        <v>46</v>
      </c>
      <c r="C127" s="7">
        <f>+C122*C120</f>
        <v>0.20625000000000002</v>
      </c>
      <c r="D127" s="7">
        <f>+C127*unhrsyr/2000</f>
        <v>0.90337500000000015</v>
      </c>
    </row>
    <row r="128" spans="1:7" x14ac:dyDescent="0.2">
      <c r="A128" t="s">
        <v>46</v>
      </c>
      <c r="C128" s="7">
        <f>+C123*C120</f>
        <v>3.1232142857142858E-2</v>
      </c>
      <c r="D128" s="7">
        <f>+C128*unhrsyr/2000</f>
        <v>0.13679678571428572</v>
      </c>
    </row>
    <row r="129" spans="1:7" x14ac:dyDescent="0.2">
      <c r="C129" s="7"/>
      <c r="D129" s="7"/>
    </row>
    <row r="130" spans="1:7" x14ac:dyDescent="0.2">
      <c r="A130" t="s">
        <v>115</v>
      </c>
      <c r="C130">
        <v>1.3999999999999999E-4</v>
      </c>
      <c r="D130" t="s">
        <v>44</v>
      </c>
    </row>
    <row r="131" spans="1:7" x14ac:dyDescent="0.2">
      <c r="A131" t="s">
        <v>33</v>
      </c>
      <c r="C131">
        <v>4.6E-5</v>
      </c>
      <c r="D131" t="s">
        <v>44</v>
      </c>
      <c r="F131" s="92">
        <f>+(1-C131/C122)</f>
        <v>0.95818181818181813</v>
      </c>
      <c r="G131" s="10" t="s">
        <v>101</v>
      </c>
    </row>
    <row r="132" spans="1:7" x14ac:dyDescent="0.2">
      <c r="A132" t="s">
        <v>65</v>
      </c>
      <c r="C132" s="20">
        <v>1.2999999999999999E-5</v>
      </c>
      <c r="D132" t="s">
        <v>44</v>
      </c>
    </row>
    <row r="133" spans="1:7" x14ac:dyDescent="0.2">
      <c r="C133" s="7"/>
      <c r="D133" s="7"/>
    </row>
    <row r="134" spans="1:7" x14ac:dyDescent="0.2">
      <c r="C134" s="3" t="s">
        <v>10</v>
      </c>
      <c r="D134" s="3" t="s">
        <v>55</v>
      </c>
    </row>
    <row r="135" spans="1:7" x14ac:dyDescent="0.2">
      <c r="A135" s="10" t="s">
        <v>115</v>
      </c>
      <c r="C135" s="7">
        <f>+C130*C$120</f>
        <v>2.6249999999999999E-2</v>
      </c>
      <c r="D135" s="7">
        <f>+C130*E$120/2000</f>
        <v>5.2499999999999995E-3</v>
      </c>
      <c r="E135" s="10" t="s">
        <v>110</v>
      </c>
    </row>
    <row r="136" spans="1:7" x14ac:dyDescent="0.2">
      <c r="A136" s="10" t="s">
        <v>33</v>
      </c>
      <c r="C136" s="7">
        <f t="shared" ref="C136:C137" si="4">+C131*C$120</f>
        <v>8.6250000000000007E-3</v>
      </c>
      <c r="D136" s="7">
        <f t="shared" ref="D136:D137" si="5">+C131*E$120/2000</f>
        <v>1.7250000000000002E-3</v>
      </c>
      <c r="E136" s="10" t="s">
        <v>110</v>
      </c>
    </row>
    <row r="137" spans="1:7" x14ac:dyDescent="0.2">
      <c r="A137" s="10" t="s">
        <v>65</v>
      </c>
      <c r="C137" s="7">
        <f t="shared" si="4"/>
        <v>2.4375E-3</v>
      </c>
      <c r="D137" s="7">
        <f t="shared" si="5"/>
        <v>4.8749999999999998E-4</v>
      </c>
      <c r="E137" s="10" t="s">
        <v>110</v>
      </c>
    </row>
    <row r="138" spans="1:7" x14ac:dyDescent="0.2">
      <c r="C138" s="7"/>
      <c r="D138" s="7"/>
      <c r="F138" s="7"/>
      <c r="G138" s="7"/>
    </row>
    <row r="139" spans="1:7" x14ac:dyDescent="0.2">
      <c r="A139" s="6" t="s">
        <v>99</v>
      </c>
      <c r="F139" s="9"/>
    </row>
    <row r="140" spans="1:7" x14ac:dyDescent="0.2">
      <c r="F140" s="9"/>
    </row>
    <row r="141" spans="1:7" x14ac:dyDescent="0.2">
      <c r="A141" s="8" t="s">
        <v>145</v>
      </c>
      <c r="F141" s="9"/>
    </row>
    <row r="142" spans="1:7" x14ac:dyDescent="0.2">
      <c r="A142" s="9" t="s">
        <v>116</v>
      </c>
      <c r="B142">
        <v>1.1180000000000001</v>
      </c>
      <c r="C142" t="s">
        <v>44</v>
      </c>
      <c r="D142" t="s">
        <v>177</v>
      </c>
      <c r="F142" s="9"/>
    </row>
    <row r="143" spans="1:7" x14ac:dyDescent="0.2">
      <c r="A143" s="9" t="s">
        <v>32</v>
      </c>
      <c r="B143">
        <v>0.31</v>
      </c>
      <c r="C143" t="s">
        <v>44</v>
      </c>
      <c r="D143" t="s">
        <v>178</v>
      </c>
      <c r="F143" s="9"/>
    </row>
    <row r="144" spans="1:7" x14ac:dyDescent="0.2">
      <c r="A144" s="21" t="s">
        <v>69</v>
      </c>
      <c r="B144" s="58">
        <f>+B143*0.05/0.278</f>
        <v>5.5755395683453231E-2</v>
      </c>
      <c r="C144" t="s">
        <v>44</v>
      </c>
      <c r="D144" s="10" t="s">
        <v>179</v>
      </c>
      <c r="F144" s="9"/>
    </row>
    <row r="145" spans="1:9" x14ac:dyDescent="0.2">
      <c r="A145" s="9"/>
      <c r="F145" s="9"/>
    </row>
    <row r="146" spans="1:9" x14ac:dyDescent="0.2">
      <c r="A146" t="s">
        <v>148</v>
      </c>
      <c r="C146">
        <f>+(C6+C7)/2000*cuydhr</f>
        <v>38.8125</v>
      </c>
      <c r="D146" t="s">
        <v>42</v>
      </c>
      <c r="E146">
        <f>+(C6+C7)/2000*cuydyr</f>
        <v>15525</v>
      </c>
      <c r="F146" s="16" t="s">
        <v>54</v>
      </c>
    </row>
    <row r="147" spans="1:9" x14ac:dyDescent="0.2">
      <c r="F147" s="9"/>
    </row>
    <row r="148" spans="1:9" x14ac:dyDescent="0.2">
      <c r="C148" s="71" t="s">
        <v>10</v>
      </c>
      <c r="D148" s="71" t="s">
        <v>55</v>
      </c>
    </row>
    <row r="149" spans="1:9" x14ac:dyDescent="0.2">
      <c r="A149" t="s">
        <v>164</v>
      </c>
      <c r="C149" s="19">
        <f>+B142*C$146</f>
        <v>43.392375000000001</v>
      </c>
      <c r="D149" s="34">
        <f>+C149*unhrsyr/2000</f>
        <v>190.05860250000001</v>
      </c>
    </row>
    <row r="150" spans="1:9" x14ac:dyDescent="0.2">
      <c r="A150" t="s">
        <v>163</v>
      </c>
      <c r="C150" s="19">
        <f t="shared" ref="C150:C151" si="6">+B143*C$146</f>
        <v>12.031874999999999</v>
      </c>
      <c r="D150" s="34">
        <f>+C150*unhrsyr/2000</f>
        <v>52.699612499999994</v>
      </c>
    </row>
    <row r="151" spans="1:9" x14ac:dyDescent="0.2">
      <c r="A151" t="s">
        <v>165</v>
      </c>
      <c r="C151" s="19">
        <f t="shared" si="6"/>
        <v>2.1640062949640284</v>
      </c>
      <c r="D151" s="19">
        <f>+C151*unhrsyr/2000</f>
        <v>9.4783475719424448</v>
      </c>
    </row>
    <row r="152" spans="1:9" x14ac:dyDescent="0.2">
      <c r="F152" s="9"/>
    </row>
    <row r="153" spans="1:9" x14ac:dyDescent="0.2">
      <c r="A153" s="8" t="s">
        <v>100</v>
      </c>
      <c r="F153" s="9"/>
    </row>
    <row r="154" spans="1:9" x14ac:dyDescent="0.2">
      <c r="A154" s="10" t="s">
        <v>101</v>
      </c>
      <c r="D154" s="52">
        <v>0.999</v>
      </c>
      <c r="F154" s="9"/>
    </row>
    <row r="155" spans="1:9" x14ac:dyDescent="0.2">
      <c r="A155" s="10"/>
      <c r="D155" s="52"/>
      <c r="F155" s="9"/>
    </row>
    <row r="156" spans="1:9" x14ac:dyDescent="0.2">
      <c r="C156" s="71" t="s">
        <v>10</v>
      </c>
      <c r="D156" s="71" t="s">
        <v>55</v>
      </c>
    </row>
    <row r="157" spans="1:9" x14ac:dyDescent="0.2">
      <c r="A157" s="10" t="s">
        <v>180</v>
      </c>
      <c r="C157" s="44">
        <f>+B142*(1-D$154)*C146</f>
        <v>4.3392375000000045E-2</v>
      </c>
      <c r="D157" s="11">
        <f>+B142*E146*(1-D$154)/2000</f>
        <v>8.6784750000000084E-3</v>
      </c>
      <c r="H157" s="22"/>
      <c r="I157" s="30"/>
    </row>
    <row r="158" spans="1:9" x14ac:dyDescent="0.2">
      <c r="A158" s="10" t="s">
        <v>181</v>
      </c>
      <c r="C158" s="44">
        <f>+B143*(1-D$154)*C146</f>
        <v>1.2031875000000011E-2</v>
      </c>
      <c r="D158" s="44">
        <f>+B143*E146*(1-D$154)/2000</f>
        <v>2.4063750000000018E-3</v>
      </c>
      <c r="H158" s="22"/>
      <c r="I158" s="30"/>
    </row>
    <row r="159" spans="1:9" x14ac:dyDescent="0.2">
      <c r="A159" s="10" t="s">
        <v>182</v>
      </c>
      <c r="C159" s="70">
        <f>+C158*0.048/0.32</f>
        <v>1.8047812500000017E-3</v>
      </c>
      <c r="D159" s="74">
        <f>+D158*0.048/0.32</f>
        <v>3.6095625000000031E-4</v>
      </c>
      <c r="E159" s="10" t="s">
        <v>183</v>
      </c>
      <c r="H159" s="22"/>
      <c r="I159" s="22"/>
    </row>
    <row r="160" spans="1:9" x14ac:dyDescent="0.2">
      <c r="C160" s="7"/>
      <c r="D160" s="7"/>
      <c r="F160" s="7"/>
      <c r="G160" s="7"/>
    </row>
    <row r="161" spans="1:6" x14ac:dyDescent="0.2">
      <c r="A161" s="6" t="s">
        <v>96</v>
      </c>
      <c r="F161" s="9"/>
    </row>
    <row r="162" spans="1:6" x14ac:dyDescent="0.2">
      <c r="F162" s="9"/>
    </row>
    <row r="163" spans="1:6" x14ac:dyDescent="0.2">
      <c r="A163" s="8" t="s">
        <v>149</v>
      </c>
      <c r="F163" s="9"/>
    </row>
    <row r="164" spans="1:6" x14ac:dyDescent="0.2">
      <c r="A164" s="9" t="s">
        <v>116</v>
      </c>
      <c r="B164">
        <v>0.57199999999999995</v>
      </c>
      <c r="C164" t="s">
        <v>44</v>
      </c>
      <c r="D164" s="10" t="s">
        <v>146</v>
      </c>
      <c r="F164" s="9"/>
    </row>
    <row r="165" spans="1:6" x14ac:dyDescent="0.2">
      <c r="A165" s="9" t="s">
        <v>32</v>
      </c>
      <c r="B165">
        <v>0.156</v>
      </c>
      <c r="C165" t="s">
        <v>44</v>
      </c>
      <c r="D165" t="s">
        <v>147</v>
      </c>
      <c r="F165" s="9"/>
    </row>
    <row r="166" spans="1:6" x14ac:dyDescent="0.2">
      <c r="A166" s="21" t="s">
        <v>69</v>
      </c>
      <c r="B166" s="58">
        <f>+B165*0.38/1.92</f>
        <v>3.0875E-2</v>
      </c>
      <c r="C166" t="s">
        <v>44</v>
      </c>
      <c r="D166" s="10" t="s">
        <v>184</v>
      </c>
      <c r="F166" s="9"/>
    </row>
    <row r="167" spans="1:6" x14ac:dyDescent="0.2">
      <c r="A167" s="9"/>
      <c r="F167" s="9"/>
    </row>
    <row r="168" spans="1:6" x14ac:dyDescent="0.2">
      <c r="A168" t="s">
        <v>148</v>
      </c>
      <c r="C168">
        <f>+(C6+C7)/2000*cuydhr</f>
        <v>38.8125</v>
      </c>
      <c r="D168" t="s">
        <v>42</v>
      </c>
      <c r="E168">
        <f>+(C6+C7)/2000*cuydyr</f>
        <v>15525</v>
      </c>
      <c r="F168" s="16" t="s">
        <v>54</v>
      </c>
    </row>
    <row r="169" spans="1:6" x14ac:dyDescent="0.2">
      <c r="F169" s="9"/>
    </row>
    <row r="170" spans="1:6" x14ac:dyDescent="0.2">
      <c r="C170" s="71" t="s">
        <v>10</v>
      </c>
      <c r="D170" s="71" t="s">
        <v>55</v>
      </c>
    </row>
    <row r="171" spans="1:6" x14ac:dyDescent="0.2">
      <c r="A171" s="10" t="s">
        <v>150</v>
      </c>
      <c r="C171" s="11">
        <f>+B164*C$168</f>
        <v>22.200749999999999</v>
      </c>
      <c r="D171" s="19">
        <f>+C171*unhrsyr/2000</f>
        <v>97.23928500000001</v>
      </c>
    </row>
    <row r="172" spans="1:6" x14ac:dyDescent="0.2">
      <c r="A172" t="s">
        <v>151</v>
      </c>
      <c r="C172" s="11">
        <f t="shared" ref="C172:C173" si="7">+B165*C$168</f>
        <v>6.0547500000000003</v>
      </c>
      <c r="D172" s="19">
        <f>+C172*unhrsyr/2000</f>
        <v>26.519805000000002</v>
      </c>
    </row>
    <row r="173" spans="1:6" x14ac:dyDescent="0.2">
      <c r="A173" t="s">
        <v>152</v>
      </c>
      <c r="C173" s="11">
        <f t="shared" si="7"/>
        <v>1.1983359375</v>
      </c>
      <c r="D173" s="19">
        <f>+C173*unhrsyr/2000</f>
        <v>5.2487114062500009</v>
      </c>
    </row>
    <row r="174" spans="1:6" x14ac:dyDescent="0.2">
      <c r="F174" s="9"/>
    </row>
    <row r="175" spans="1:6" x14ac:dyDescent="0.2">
      <c r="A175" s="8" t="s">
        <v>100</v>
      </c>
      <c r="F175" s="9"/>
    </row>
    <row r="176" spans="1:6" x14ac:dyDescent="0.2">
      <c r="A176" s="10" t="s">
        <v>101</v>
      </c>
      <c r="D176" s="52">
        <v>0.999</v>
      </c>
      <c r="F176" s="9"/>
    </row>
    <row r="177" spans="1:11" x14ac:dyDescent="0.2">
      <c r="A177" s="10"/>
      <c r="D177" s="52"/>
      <c r="F177" s="9"/>
    </row>
    <row r="178" spans="1:11" x14ac:dyDescent="0.2">
      <c r="C178" s="71" t="s">
        <v>10</v>
      </c>
      <c r="D178" s="71" t="s">
        <v>55</v>
      </c>
    </row>
    <row r="179" spans="1:11" x14ac:dyDescent="0.2">
      <c r="A179" s="10" t="s">
        <v>167</v>
      </c>
      <c r="C179" s="44">
        <f>+B164*(1-D$176)*C168</f>
        <v>2.2200750000000019E-2</v>
      </c>
      <c r="D179" s="44">
        <f>+B164*E168*(1-D$176)/2000</f>
        <v>4.4401500000000038E-3</v>
      </c>
      <c r="H179" s="22"/>
      <c r="I179" s="30"/>
    </row>
    <row r="180" spans="1:11" x14ac:dyDescent="0.2">
      <c r="A180" s="10" t="s">
        <v>168</v>
      </c>
      <c r="C180" s="74">
        <f>+B165*(1-D$176)*C168</f>
        <v>6.0547500000000054E-3</v>
      </c>
      <c r="D180" s="44">
        <f>+B165*E168*(1-D$176)/2000</f>
        <v>1.210950000000001E-3</v>
      </c>
      <c r="H180" s="22"/>
      <c r="I180" s="30"/>
    </row>
    <row r="181" spans="1:11" x14ac:dyDescent="0.2">
      <c r="A181" s="10" t="s">
        <v>169</v>
      </c>
      <c r="C181" s="70">
        <f>+C180*0.03/0.13</f>
        <v>1.3972500000000011E-3</v>
      </c>
      <c r="D181" s="74">
        <f>+D180*0.38/1.92</f>
        <v>2.3966718750000019E-4</v>
      </c>
      <c r="E181" s="10" t="s">
        <v>197</v>
      </c>
      <c r="H181" s="22"/>
      <c r="I181" s="22"/>
    </row>
    <row r="182" spans="1:11" x14ac:dyDescent="0.2">
      <c r="F182" s="9"/>
    </row>
    <row r="183" spans="1:11" x14ac:dyDescent="0.2">
      <c r="A183" s="6" t="s">
        <v>109</v>
      </c>
      <c r="F183" s="9"/>
    </row>
    <row r="184" spans="1:11" x14ac:dyDescent="0.2">
      <c r="F184" s="9"/>
    </row>
    <row r="185" spans="1:11" ht="13.5" customHeight="1" x14ac:dyDescent="0.2">
      <c r="A185" s="140" t="s">
        <v>153</v>
      </c>
      <c r="B185" s="140"/>
      <c r="C185" s="140"/>
      <c r="D185" s="140"/>
      <c r="E185" s="140"/>
      <c r="F185" s="140"/>
      <c r="G185" s="140"/>
      <c r="H185" s="140"/>
      <c r="I185" s="140"/>
      <c r="J185" s="140"/>
      <c r="K185" s="140"/>
    </row>
    <row r="186" spans="1:11" x14ac:dyDescent="0.2">
      <c r="A186" s="9" t="s">
        <v>116</v>
      </c>
      <c r="B186">
        <v>0.73</v>
      </c>
      <c r="C186" t="s">
        <v>44</v>
      </c>
      <c r="D186" t="s">
        <v>118</v>
      </c>
      <c r="F186" s="9"/>
    </row>
    <row r="187" spans="1:11" x14ac:dyDescent="0.2">
      <c r="A187" s="9" t="s">
        <v>32</v>
      </c>
      <c r="B187">
        <v>0.47</v>
      </c>
      <c r="C187" t="s">
        <v>44</v>
      </c>
      <c r="D187" t="s">
        <v>52</v>
      </c>
      <c r="F187" s="9"/>
    </row>
    <row r="188" spans="1:11" x14ac:dyDescent="0.2">
      <c r="A188" s="21" t="s">
        <v>69</v>
      </c>
      <c r="B188" s="58">
        <f>+B187*0.38/1.92</f>
        <v>9.302083333333333E-2</v>
      </c>
      <c r="C188" t="s">
        <v>44</v>
      </c>
      <c r="D188" s="10" t="s">
        <v>184</v>
      </c>
      <c r="F188" s="9"/>
    </row>
    <row r="189" spans="1:11" x14ac:dyDescent="0.2">
      <c r="A189" s="9"/>
      <c r="F189" s="9"/>
    </row>
    <row r="190" spans="1:11" x14ac:dyDescent="0.2">
      <c r="A190" t="s">
        <v>154</v>
      </c>
      <c r="C190" s="12">
        <f>+D6</f>
        <v>30.5625</v>
      </c>
      <c r="D190" t="s">
        <v>42</v>
      </c>
      <c r="E190">
        <f>+(C6)/2000*cuydyr</f>
        <v>12225</v>
      </c>
      <c r="F190" s="16" t="s">
        <v>54</v>
      </c>
    </row>
    <row r="191" spans="1:11" x14ac:dyDescent="0.2">
      <c r="F191" s="9"/>
    </row>
    <row r="192" spans="1:11" x14ac:dyDescent="0.2">
      <c r="C192" s="71" t="s">
        <v>10</v>
      </c>
      <c r="D192" s="71" t="s">
        <v>55</v>
      </c>
    </row>
    <row r="193" spans="1:11" x14ac:dyDescent="0.2">
      <c r="A193" s="10" t="s">
        <v>155</v>
      </c>
      <c r="C193" s="7">
        <f>+(B186*C190)</f>
        <v>22.310624999999998</v>
      </c>
      <c r="D193" s="7">
        <f>+C193*unhrsyr/2000</f>
        <v>97.720537499999992</v>
      </c>
    </row>
    <row r="194" spans="1:11" x14ac:dyDescent="0.2">
      <c r="A194" t="s">
        <v>156</v>
      </c>
      <c r="C194" s="7">
        <f>+(B187*C190)</f>
        <v>14.364374999999999</v>
      </c>
      <c r="D194" s="7">
        <f>+C194*unhrsyr/2000</f>
        <v>62.915962499999992</v>
      </c>
    </row>
    <row r="195" spans="1:11" x14ac:dyDescent="0.2">
      <c r="A195" s="10" t="s">
        <v>157</v>
      </c>
      <c r="C195" s="7">
        <f>+(B188*C190)</f>
        <v>2.8429492187499998</v>
      </c>
      <c r="D195" s="7">
        <f>+C195*unhrsyr/2000</f>
        <v>12.452117578124998</v>
      </c>
    </row>
    <row r="196" spans="1:11" x14ac:dyDescent="0.2">
      <c r="F196" s="9"/>
    </row>
    <row r="197" spans="1:11" x14ac:dyDescent="0.2">
      <c r="A197" s="8" t="s">
        <v>100</v>
      </c>
      <c r="F197" s="9"/>
    </row>
    <row r="198" spans="1:11" x14ac:dyDescent="0.2">
      <c r="A198" s="10" t="s">
        <v>101</v>
      </c>
      <c r="D198" s="52">
        <v>0.999</v>
      </c>
      <c r="F198" s="9"/>
    </row>
    <row r="199" spans="1:11" x14ac:dyDescent="0.2">
      <c r="A199" s="10"/>
      <c r="D199" s="52"/>
      <c r="F199" s="9"/>
    </row>
    <row r="200" spans="1:11" x14ac:dyDescent="0.2">
      <c r="C200" s="71" t="s">
        <v>10</v>
      </c>
      <c r="D200" s="71" t="s">
        <v>55</v>
      </c>
    </row>
    <row r="201" spans="1:11" x14ac:dyDescent="0.2">
      <c r="A201" s="10" t="s">
        <v>170</v>
      </c>
      <c r="C201" s="91">
        <f>+B186*(1-D$198)*C190</f>
        <v>2.2310625000000018E-2</v>
      </c>
      <c r="D201" s="44">
        <f>+B186*E190*(1-D$198)/2000</f>
        <v>4.4621250000000043E-3</v>
      </c>
      <c r="H201" s="22"/>
      <c r="I201" s="30"/>
    </row>
    <row r="202" spans="1:11" x14ac:dyDescent="0.2">
      <c r="A202" s="10" t="s">
        <v>171</v>
      </c>
      <c r="C202" s="91">
        <f>+B187*(1-D$198)*C190</f>
        <v>1.4364375000000011E-2</v>
      </c>
      <c r="D202" s="44">
        <f>+B187*E190*(1-D$198)/2000</f>
        <v>2.8728750000000026E-3</v>
      </c>
      <c r="H202" s="22"/>
      <c r="I202" s="30"/>
    </row>
    <row r="203" spans="1:11" x14ac:dyDescent="0.2">
      <c r="A203" s="10" t="s">
        <v>172</v>
      </c>
      <c r="C203" s="91">
        <f>+C202*0.03/0.13</f>
        <v>3.3148557692307713E-3</v>
      </c>
      <c r="D203" s="74">
        <f>+D202*0.38/1.92</f>
        <v>5.6858984375000052E-4</v>
      </c>
      <c r="E203" s="10" t="s">
        <v>197</v>
      </c>
      <c r="H203" s="22"/>
      <c r="I203" s="22"/>
    </row>
    <row r="204" spans="1:11" x14ac:dyDescent="0.2">
      <c r="F204" s="9"/>
      <c r="G204" s="10"/>
    </row>
    <row r="205" spans="1:11" x14ac:dyDescent="0.2">
      <c r="A205" s="6" t="s">
        <v>166</v>
      </c>
      <c r="F205" s="9"/>
    </row>
    <row r="206" spans="1:11" x14ac:dyDescent="0.2">
      <c r="F206" s="9"/>
    </row>
    <row r="207" spans="1:11" ht="13.5" customHeight="1" x14ac:dyDescent="0.2">
      <c r="A207" s="140" t="s">
        <v>158</v>
      </c>
      <c r="B207" s="140"/>
      <c r="C207" s="140"/>
      <c r="D207" s="140"/>
      <c r="E207" s="140"/>
      <c r="F207" s="140"/>
      <c r="G207" s="140"/>
      <c r="H207" s="140"/>
      <c r="I207" s="140"/>
      <c r="J207" s="140"/>
      <c r="K207" s="140"/>
    </row>
    <row r="208" spans="1:11" x14ac:dyDescent="0.2">
      <c r="A208" s="9" t="s">
        <v>116</v>
      </c>
      <c r="B208">
        <v>3.14</v>
      </c>
      <c r="C208" t="s">
        <v>44</v>
      </c>
      <c r="D208" t="s">
        <v>146</v>
      </c>
      <c r="F208" s="9"/>
    </row>
    <row r="209" spans="1:9" x14ac:dyDescent="0.2">
      <c r="A209" s="9" t="s">
        <v>32</v>
      </c>
      <c r="B209">
        <v>1.1000000000000001</v>
      </c>
      <c r="C209" t="s">
        <v>44</v>
      </c>
      <c r="D209" t="s">
        <v>147</v>
      </c>
      <c r="F209" s="9"/>
    </row>
    <row r="210" spans="1:9" x14ac:dyDescent="0.2">
      <c r="A210" s="9" t="s">
        <v>32</v>
      </c>
      <c r="B210" s="58">
        <f>+B209*0.38/1.92</f>
        <v>0.21770833333333336</v>
      </c>
      <c r="C210" t="s">
        <v>44</v>
      </c>
      <c r="D210" s="10" t="s">
        <v>184</v>
      </c>
      <c r="F210" s="9"/>
    </row>
    <row r="211" spans="1:9" x14ac:dyDescent="0.2">
      <c r="A211" s="9"/>
      <c r="F211" s="9"/>
    </row>
    <row r="212" spans="1:9" x14ac:dyDescent="0.2">
      <c r="A212" t="s">
        <v>159</v>
      </c>
      <c r="C212">
        <f>+(C7)/2000*cuydhr</f>
        <v>8.25</v>
      </c>
      <c r="D212" t="s">
        <v>42</v>
      </c>
      <c r="E212">
        <f>+(C7)/2000*cuydyr</f>
        <v>3300</v>
      </c>
      <c r="F212" s="16" t="s">
        <v>54</v>
      </c>
    </row>
    <row r="213" spans="1:9" x14ac:dyDescent="0.2">
      <c r="F213" s="9"/>
    </row>
    <row r="214" spans="1:9" x14ac:dyDescent="0.2">
      <c r="C214" s="71" t="s">
        <v>10</v>
      </c>
      <c r="D214" s="71" t="s">
        <v>55</v>
      </c>
    </row>
    <row r="215" spans="1:9" x14ac:dyDescent="0.2">
      <c r="A215" s="10" t="s">
        <v>160</v>
      </c>
      <c r="C215" s="7">
        <f>+(B208*C212)</f>
        <v>25.905000000000001</v>
      </c>
      <c r="D215" s="7">
        <f>+C215*unhrsyr/2000</f>
        <v>113.46390000000001</v>
      </c>
    </row>
    <row r="216" spans="1:9" x14ac:dyDescent="0.2">
      <c r="A216" s="10" t="s">
        <v>161</v>
      </c>
      <c r="C216" s="7">
        <f>+(B209*C212)</f>
        <v>9.0750000000000011</v>
      </c>
      <c r="D216" s="7">
        <f>+C216*unhrsyr/2000</f>
        <v>39.748500000000007</v>
      </c>
    </row>
    <row r="217" spans="1:9" x14ac:dyDescent="0.2">
      <c r="A217" s="10" t="s">
        <v>162</v>
      </c>
      <c r="C217" s="7">
        <f>+(B210*C212)</f>
        <v>1.7960937500000003</v>
      </c>
      <c r="D217" s="7">
        <f>+C217*unhrsyr/2000</f>
        <v>7.8668906250000008</v>
      </c>
    </row>
    <row r="218" spans="1:9" x14ac:dyDescent="0.2">
      <c r="F218" s="9"/>
    </row>
    <row r="219" spans="1:9" x14ac:dyDescent="0.2">
      <c r="A219" s="8" t="s">
        <v>100</v>
      </c>
      <c r="F219" s="9"/>
    </row>
    <row r="220" spans="1:9" x14ac:dyDescent="0.2">
      <c r="A220" s="10" t="s">
        <v>101</v>
      </c>
      <c r="D220" s="52">
        <v>0.999</v>
      </c>
      <c r="F220" s="9"/>
    </row>
    <row r="221" spans="1:9" x14ac:dyDescent="0.2">
      <c r="A221" s="10"/>
      <c r="D221" s="52"/>
      <c r="F221" s="9"/>
    </row>
    <row r="222" spans="1:9" x14ac:dyDescent="0.2">
      <c r="C222" s="51" t="s">
        <v>10</v>
      </c>
      <c r="D222" s="51" t="s">
        <v>55</v>
      </c>
    </row>
    <row r="223" spans="1:9" x14ac:dyDescent="0.2">
      <c r="A223" s="10" t="s">
        <v>117</v>
      </c>
      <c r="C223" s="44">
        <f>+B208*(1-D$220)*C212</f>
        <v>2.5905000000000025E-2</v>
      </c>
      <c r="D223" s="44">
        <f>+B208*E212*(1-D$220)/2000</f>
        <v>5.1810000000000042E-3</v>
      </c>
      <c r="H223" s="22"/>
      <c r="I223" s="30"/>
    </row>
    <row r="224" spans="1:9" x14ac:dyDescent="0.2">
      <c r="A224" s="10" t="s">
        <v>102</v>
      </c>
      <c r="C224" s="44">
        <f>+B209*(1-D$220)*C212</f>
        <v>9.0750000000000101E-3</v>
      </c>
      <c r="D224" s="44">
        <f>+B209*E212*(1-D$220)/2000</f>
        <v>1.8150000000000019E-3</v>
      </c>
      <c r="H224" s="22"/>
      <c r="I224" s="30"/>
    </row>
    <row r="225" spans="1:9" x14ac:dyDescent="0.2">
      <c r="A225" s="10" t="s">
        <v>103</v>
      </c>
      <c r="C225" s="74">
        <f>+C224*0.03/0.13</f>
        <v>2.0942307692307714E-3</v>
      </c>
      <c r="D225" s="74">
        <f>+D224*0.38/1.92</f>
        <v>3.5921875000000043E-4</v>
      </c>
      <c r="E225" s="10" t="s">
        <v>197</v>
      </c>
      <c r="H225" s="22"/>
      <c r="I225" s="22"/>
    </row>
    <row r="226" spans="1:9" x14ac:dyDescent="0.2">
      <c r="H226" s="22"/>
      <c r="I226" s="22"/>
    </row>
    <row r="227" spans="1:9" x14ac:dyDescent="0.2">
      <c r="A227" s="6" t="s">
        <v>200</v>
      </c>
      <c r="B227" s="10"/>
      <c r="C227" s="10"/>
      <c r="D227" s="10"/>
      <c r="E227" s="10"/>
      <c r="F227" s="10"/>
      <c r="G227" s="10"/>
      <c r="H227" s="10"/>
      <c r="I227" s="10"/>
    </row>
    <row r="228" spans="1:9" x14ac:dyDescent="0.2">
      <c r="A228" s="10" t="s">
        <v>201</v>
      </c>
      <c r="B228" s="10"/>
      <c r="C228" s="10"/>
      <c r="D228" s="10"/>
      <c r="E228" s="10"/>
      <c r="F228" s="10"/>
      <c r="G228" s="10"/>
      <c r="H228" s="10"/>
      <c r="I228" s="10"/>
    </row>
    <row r="229" spans="1:9" x14ac:dyDescent="0.2">
      <c r="A229" s="10" t="s">
        <v>30</v>
      </c>
      <c r="B229" s="10"/>
      <c r="C229" s="10"/>
      <c r="D229" s="10"/>
      <c r="E229" s="10"/>
      <c r="F229" s="10"/>
      <c r="G229" s="10"/>
      <c r="H229" s="10"/>
      <c r="I229" s="10"/>
    </row>
    <row r="230" spans="1:9" x14ac:dyDescent="0.2">
      <c r="A230" s="10" t="s">
        <v>202</v>
      </c>
      <c r="B230" s="10"/>
      <c r="C230" s="10"/>
      <c r="D230" s="95" t="s">
        <v>57</v>
      </c>
      <c r="E230" s="10"/>
      <c r="F230" s="10"/>
      <c r="G230" s="10"/>
      <c r="H230" s="10"/>
      <c r="I230" s="10"/>
    </row>
    <row r="231" spans="1:9" x14ac:dyDescent="0.2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2">
      <c r="A232" s="10" t="s">
        <v>203</v>
      </c>
      <c r="B232" s="10"/>
      <c r="C232" s="10">
        <v>4.9000000000000004</v>
      </c>
      <c r="D232" s="10"/>
      <c r="E232" s="10"/>
      <c r="F232" s="10"/>
      <c r="G232" s="10"/>
      <c r="H232" s="10"/>
      <c r="I232" s="10"/>
    </row>
    <row r="233" spans="1:9" x14ac:dyDescent="0.2">
      <c r="A233" s="10" t="s">
        <v>31</v>
      </c>
      <c r="B233" s="10"/>
      <c r="C233" s="10">
        <v>1.5</v>
      </c>
      <c r="D233" s="10"/>
      <c r="E233" s="10"/>
      <c r="F233" s="10"/>
      <c r="G233" s="10"/>
      <c r="H233" s="10"/>
      <c r="I233" s="10"/>
    </row>
    <row r="234" spans="1:9" x14ac:dyDescent="0.2">
      <c r="A234" s="10" t="s">
        <v>204</v>
      </c>
      <c r="B234" s="10"/>
      <c r="C234" s="10">
        <v>0.15</v>
      </c>
      <c r="D234" s="10"/>
      <c r="E234" s="10"/>
      <c r="F234" s="10"/>
      <c r="G234" s="10"/>
      <c r="H234" s="10"/>
      <c r="I234" s="10"/>
    </row>
    <row r="235" spans="1:9" x14ac:dyDescent="0.2">
      <c r="A235" s="10" t="s">
        <v>205</v>
      </c>
      <c r="B235" s="10"/>
      <c r="C235" s="10">
        <v>0.7</v>
      </c>
      <c r="D235" s="10"/>
      <c r="E235" s="10"/>
      <c r="F235" s="10"/>
      <c r="G235" s="10"/>
      <c r="H235" s="10"/>
      <c r="I235" s="10"/>
    </row>
    <row r="236" spans="1:9" x14ac:dyDescent="0.2">
      <c r="A236" s="10" t="s">
        <v>206</v>
      </c>
      <c r="B236" s="10"/>
      <c r="C236" s="10">
        <v>0.9</v>
      </c>
      <c r="D236" s="10"/>
      <c r="E236" s="10"/>
      <c r="F236" s="10"/>
      <c r="G236" s="10"/>
      <c r="H236" s="10"/>
      <c r="I236" s="10"/>
    </row>
    <row r="237" spans="1:9" x14ac:dyDescent="0.2">
      <c r="A237" s="10" t="s">
        <v>207</v>
      </c>
      <c r="B237" s="10"/>
      <c r="C237" s="10">
        <v>0.9</v>
      </c>
      <c r="D237" s="10"/>
      <c r="E237" s="10"/>
      <c r="F237" s="10"/>
      <c r="G237" s="10"/>
      <c r="H237" s="10"/>
      <c r="I237" s="10"/>
    </row>
    <row r="238" spans="1:9" x14ac:dyDescent="0.2">
      <c r="A238" s="10" t="s">
        <v>208</v>
      </c>
      <c r="B238" s="10"/>
      <c r="C238" s="10">
        <v>0.45</v>
      </c>
      <c r="D238" s="10"/>
      <c r="E238" s="10"/>
      <c r="F238" s="10"/>
      <c r="G238" s="10"/>
      <c r="H238" s="10"/>
      <c r="I238" s="10"/>
    </row>
    <row r="239" spans="1:9" x14ac:dyDescent="0.2">
      <c r="A239" s="10" t="s">
        <v>209</v>
      </c>
      <c r="B239" s="10"/>
      <c r="C239" s="10">
        <v>0.45</v>
      </c>
      <c r="D239" s="10"/>
      <c r="E239" s="10"/>
      <c r="F239" s="10"/>
      <c r="G239" s="10"/>
      <c r="H239" s="10"/>
      <c r="I239" s="10"/>
    </row>
    <row r="240" spans="1:9" x14ac:dyDescent="0.2">
      <c r="A240" s="10" t="s">
        <v>210</v>
      </c>
      <c r="B240" s="10"/>
      <c r="C240" s="10">
        <v>0.45</v>
      </c>
      <c r="D240" s="10"/>
      <c r="E240" s="10"/>
      <c r="F240" s="10"/>
      <c r="G240" s="10"/>
      <c r="H240" s="10"/>
      <c r="I240" s="10"/>
    </row>
    <row r="241" spans="1:11" x14ac:dyDescent="0.2">
      <c r="A241" s="10" t="s">
        <v>211</v>
      </c>
      <c r="B241" s="10"/>
      <c r="C241" s="10">
        <v>4.8</v>
      </c>
      <c r="D241" s="10" t="s">
        <v>9</v>
      </c>
      <c r="E241" s="10" t="s">
        <v>212</v>
      </c>
      <c r="F241" s="10"/>
      <c r="G241" s="10"/>
      <c r="H241" s="10"/>
      <c r="I241" s="10"/>
    </row>
    <row r="242" spans="1:11" x14ac:dyDescent="0.2">
      <c r="A242" s="10" t="s">
        <v>213</v>
      </c>
      <c r="B242" s="10"/>
      <c r="C242" s="10">
        <v>70</v>
      </c>
      <c r="D242" s="10" t="s">
        <v>214</v>
      </c>
      <c r="E242" s="10" t="s">
        <v>215</v>
      </c>
      <c r="F242" s="10"/>
      <c r="G242" s="10"/>
      <c r="H242" s="10"/>
      <c r="I242" s="10"/>
    </row>
    <row r="243" spans="1:11" x14ac:dyDescent="0.2">
      <c r="A243" s="10" t="s">
        <v>216</v>
      </c>
      <c r="B243" s="10"/>
      <c r="C243" s="10"/>
      <c r="D243" s="10">
        <v>95</v>
      </c>
      <c r="E243" s="10" t="s">
        <v>9</v>
      </c>
      <c r="F243" s="10" t="s">
        <v>217</v>
      </c>
      <c r="G243" s="10"/>
      <c r="H243" s="10"/>
      <c r="I243" s="10"/>
    </row>
    <row r="245" spans="1:11" x14ac:dyDescent="0.2">
      <c r="A245" t="s">
        <v>12</v>
      </c>
      <c r="D245" s="33">
        <f>+'Road Length'!C17</f>
        <v>93.267479370296584</v>
      </c>
      <c r="E245" s="10" t="s">
        <v>135</v>
      </c>
      <c r="G245">
        <f>+D245/1609*2</f>
        <v>0.11593223041677636</v>
      </c>
      <c r="H245" s="10" t="s">
        <v>111</v>
      </c>
    </row>
    <row r="246" spans="1:11" x14ac:dyDescent="0.2">
      <c r="A246" t="s">
        <v>13</v>
      </c>
      <c r="D246" s="33">
        <f>+'Road Length'!C17</f>
        <v>93.267479370296584</v>
      </c>
      <c r="E246" s="10" t="s">
        <v>135</v>
      </c>
      <c r="G246">
        <f>+D246/1609*2</f>
        <v>0.11593223041677636</v>
      </c>
      <c r="H246" s="10" t="s">
        <v>111</v>
      </c>
    </row>
    <row r="247" spans="1:11" x14ac:dyDescent="0.2">
      <c r="A247" t="s">
        <v>14</v>
      </c>
      <c r="D247" s="33">
        <f>+'Road Length'!F24</f>
        <v>337.48690584095647</v>
      </c>
      <c r="E247" s="10" t="s">
        <v>135</v>
      </c>
      <c r="G247">
        <f>+D247/1609</f>
        <v>0.20974947535174424</v>
      </c>
      <c r="H247" s="10" t="s">
        <v>111</v>
      </c>
    </row>
    <row r="248" spans="1:11" x14ac:dyDescent="0.2">
      <c r="A248" t="s">
        <v>15</v>
      </c>
      <c r="D248" s="33">
        <f>+'Road Length'!C17</f>
        <v>93.267479370296584</v>
      </c>
      <c r="E248" s="10" t="s">
        <v>135</v>
      </c>
      <c r="G248">
        <f>+D248/1609*2</f>
        <v>0.11593223041677636</v>
      </c>
      <c r="H248" s="10" t="s">
        <v>111</v>
      </c>
    </row>
    <row r="249" spans="1:11" x14ac:dyDescent="0.2">
      <c r="A249" t="s">
        <v>219</v>
      </c>
      <c r="D249" s="33">
        <f>+'Road Length'!F24</f>
        <v>337.48690584095647</v>
      </c>
      <c r="E249" s="10" t="s">
        <v>135</v>
      </c>
      <c r="G249">
        <f>+D249/1609</f>
        <v>0.20974947535174424</v>
      </c>
      <c r="H249" s="10" t="s">
        <v>111</v>
      </c>
    </row>
    <row r="251" spans="1:11" x14ac:dyDescent="0.2">
      <c r="A251" t="s">
        <v>16</v>
      </c>
      <c r="D251" s="12">
        <f>+H251/F251</f>
        <v>1.3288043478260869</v>
      </c>
      <c r="E251" t="s">
        <v>19</v>
      </c>
      <c r="F251">
        <v>23</v>
      </c>
      <c r="G251" t="s">
        <v>29</v>
      </c>
      <c r="H251" s="12">
        <f>+D6</f>
        <v>30.5625</v>
      </c>
      <c r="I251" t="s">
        <v>28</v>
      </c>
      <c r="K251" s="12"/>
    </row>
    <row r="252" spans="1:11" x14ac:dyDescent="0.2">
      <c r="A252" t="s">
        <v>45</v>
      </c>
      <c r="D252" s="12">
        <f>+H252/F252</f>
        <v>0.35869565217391303</v>
      </c>
      <c r="E252" t="s">
        <v>19</v>
      </c>
      <c r="F252">
        <v>23</v>
      </c>
      <c r="G252" t="s">
        <v>29</v>
      </c>
      <c r="H252" s="12">
        <f>+D7</f>
        <v>8.25</v>
      </c>
      <c r="I252" t="s">
        <v>28</v>
      </c>
      <c r="K252" s="12"/>
    </row>
    <row r="253" spans="1:11" x14ac:dyDescent="0.2">
      <c r="A253" t="s">
        <v>17</v>
      </c>
      <c r="D253" s="12">
        <f>+H253/F253</f>
        <v>8.1521739130434785</v>
      </c>
      <c r="E253" t="s">
        <v>19</v>
      </c>
      <c r="F253">
        <v>23</v>
      </c>
      <c r="G253" t="s">
        <v>29</v>
      </c>
      <c r="H253" s="12">
        <f>+D4+D5</f>
        <v>187.5</v>
      </c>
      <c r="I253" t="s">
        <v>28</v>
      </c>
      <c r="K253" s="12"/>
    </row>
    <row r="254" spans="1:11" x14ac:dyDescent="0.2">
      <c r="A254" t="s">
        <v>18</v>
      </c>
      <c r="D254" s="99">
        <f>+H254/F254</f>
        <v>10.416666666666666</v>
      </c>
      <c r="E254" s="100" t="s">
        <v>19</v>
      </c>
      <c r="F254">
        <v>12</v>
      </c>
      <c r="G254" s="10" t="s">
        <v>82</v>
      </c>
      <c r="H254" s="12">
        <f>+cuydhr</f>
        <v>125</v>
      </c>
      <c r="I254" t="s">
        <v>7</v>
      </c>
      <c r="K254" s="12"/>
    </row>
    <row r="255" spans="1:11" x14ac:dyDescent="0.2">
      <c r="A255" t="s">
        <v>220</v>
      </c>
      <c r="D255" s="54">
        <f>+H255/F255</f>
        <v>0.97422062350119909</v>
      </c>
      <c r="E255" s="55" t="s">
        <v>19</v>
      </c>
      <c r="F255">
        <v>4000</v>
      </c>
      <c r="G255" s="10" t="s">
        <v>221</v>
      </c>
      <c r="H255" s="12">
        <f>+F8</f>
        <v>3896.8824940047962</v>
      </c>
      <c r="I255" s="10" t="s">
        <v>225</v>
      </c>
      <c r="K255" s="12"/>
    </row>
    <row r="256" spans="1:11" x14ac:dyDescent="0.2">
      <c r="D256" s="12">
        <f>SUM(D251:D255)</f>
        <v>21.230561203211344</v>
      </c>
      <c r="E256" t="s">
        <v>19</v>
      </c>
      <c r="H256" s="12"/>
      <c r="K256" s="12"/>
    </row>
    <row r="257" spans="1:11" x14ac:dyDescent="0.2">
      <c r="D257" s="12">
        <f>+D256*Hours!D27</f>
        <v>127.38336721926807</v>
      </c>
      <c r="E257" t="s">
        <v>239</v>
      </c>
      <c r="H257" s="12"/>
    </row>
    <row r="258" spans="1:11" x14ac:dyDescent="0.2">
      <c r="D258" s="12"/>
      <c r="H258" s="12"/>
    </row>
    <row r="259" spans="1:11" x14ac:dyDescent="0.2">
      <c r="A259" s="10" t="s">
        <v>91</v>
      </c>
      <c r="D259" s="12">
        <f>+H259/F259</f>
        <v>531.52173913043475</v>
      </c>
      <c r="E259" s="10" t="s">
        <v>95</v>
      </c>
      <c r="F259">
        <v>23</v>
      </c>
      <c r="G259" t="s">
        <v>29</v>
      </c>
      <c r="H259" s="12">
        <f>+C6*cuydyr/2000</f>
        <v>12225</v>
      </c>
      <c r="I259" s="10" t="s">
        <v>55</v>
      </c>
    </row>
    <row r="260" spans="1:11" x14ac:dyDescent="0.2">
      <c r="A260" s="10" t="s">
        <v>92</v>
      </c>
      <c r="D260" s="12">
        <f>+H260/F260</f>
        <v>143.47826086956522</v>
      </c>
      <c r="E260" s="10" t="s">
        <v>95</v>
      </c>
      <c r="F260">
        <v>23</v>
      </c>
      <c r="G260" t="s">
        <v>29</v>
      </c>
      <c r="H260" s="12">
        <f>+C7*cuydyr/2000</f>
        <v>3300</v>
      </c>
      <c r="I260" s="10" t="s">
        <v>55</v>
      </c>
    </row>
    <row r="261" spans="1:11" x14ac:dyDescent="0.2">
      <c r="A261" s="10" t="s">
        <v>93</v>
      </c>
      <c r="D261" s="12">
        <f>+H261/F261</f>
        <v>3260.8695652173915</v>
      </c>
      <c r="E261" s="10" t="s">
        <v>95</v>
      </c>
      <c r="F261">
        <v>23</v>
      </c>
      <c r="G261" t="s">
        <v>29</v>
      </c>
      <c r="H261" s="12">
        <f>+(agg+sand)*cuydyr/2000</f>
        <v>75000</v>
      </c>
      <c r="I261" s="10" t="s">
        <v>55</v>
      </c>
    </row>
    <row r="262" spans="1:11" x14ac:dyDescent="0.2">
      <c r="A262" s="10" t="s">
        <v>94</v>
      </c>
      <c r="D262" s="99">
        <f>+H262/F262</f>
        <v>4166.666666666667</v>
      </c>
      <c r="E262" s="101" t="s">
        <v>95</v>
      </c>
      <c r="F262">
        <v>12</v>
      </c>
      <c r="G262" s="10" t="s">
        <v>82</v>
      </c>
      <c r="H262" s="12">
        <f>+cuydyr</f>
        <v>50000</v>
      </c>
      <c r="I262" s="10" t="s">
        <v>55</v>
      </c>
    </row>
    <row r="263" spans="1:11" x14ac:dyDescent="0.2">
      <c r="A263" s="10" t="s">
        <v>222</v>
      </c>
      <c r="D263" s="54">
        <f>+H263/F263</f>
        <v>389.68824940047961</v>
      </c>
      <c r="E263" s="56" t="s">
        <v>95</v>
      </c>
      <c r="F263">
        <v>4000</v>
      </c>
      <c r="G263" s="10" t="s">
        <v>221</v>
      </c>
      <c r="H263" s="12">
        <f>+G8</f>
        <v>1558752.9976019184</v>
      </c>
      <c r="I263" s="10" t="s">
        <v>226</v>
      </c>
    </row>
    <row r="264" spans="1:11" x14ac:dyDescent="0.2">
      <c r="D264" s="12">
        <f>SUM(D259:D263)</f>
        <v>8492.2244812845383</v>
      </c>
      <c r="E264" s="10" t="s">
        <v>95</v>
      </c>
    </row>
    <row r="265" spans="1:11" x14ac:dyDescent="0.2">
      <c r="D265" s="12"/>
    </row>
    <row r="266" spans="1:11" x14ac:dyDescent="0.2">
      <c r="A266" t="s">
        <v>12</v>
      </c>
      <c r="D266" s="1">
        <f>+D251*G245</f>
        <v>0.15405125183098814</v>
      </c>
      <c r="E266" s="10" t="s">
        <v>112</v>
      </c>
      <c r="F266" s="30">
        <f>+D266*unhrsyr</f>
        <v>1349.488966039456</v>
      </c>
      <c r="G266" s="10" t="s">
        <v>83</v>
      </c>
      <c r="I266" s="30">
        <f>+D259*G245</f>
        <v>61.620500732395257</v>
      </c>
      <c r="J266" s="10" t="s">
        <v>84</v>
      </c>
    </row>
    <row r="267" spans="1:11" x14ac:dyDescent="0.2">
      <c r="A267" t="s">
        <v>13</v>
      </c>
      <c r="D267" s="1">
        <f>+D252*G246</f>
        <v>4.1584386997321955E-2</v>
      </c>
      <c r="E267" s="10" t="s">
        <v>112</v>
      </c>
      <c r="F267" s="30">
        <f>+D267*unhrsyr</f>
        <v>364.27923009654035</v>
      </c>
      <c r="G267" s="10" t="s">
        <v>83</v>
      </c>
      <c r="I267" s="30">
        <f>+D260*G246</f>
        <v>16.633754798928781</v>
      </c>
      <c r="J267" s="10" t="s">
        <v>84</v>
      </c>
    </row>
    <row r="268" spans="1:11" x14ac:dyDescent="0.2">
      <c r="A268" t="s">
        <v>14</v>
      </c>
      <c r="D268" s="1">
        <f>+D253*G247</f>
        <v>1.7099142012370454</v>
      </c>
      <c r="E268" s="10" t="s">
        <v>112</v>
      </c>
      <c r="F268" s="30">
        <f>+D268*unhrsyr</f>
        <v>14978.848402836518</v>
      </c>
      <c r="G268" s="10" t="s">
        <v>83</v>
      </c>
      <c r="I268" s="30">
        <f>+D261*G247</f>
        <v>683.96568049481823</v>
      </c>
      <c r="J268" s="10" t="s">
        <v>84</v>
      </c>
    </row>
    <row r="269" spans="1:11" x14ac:dyDescent="0.2">
      <c r="A269" t="s">
        <v>15</v>
      </c>
      <c r="D269" s="104">
        <f>+D254*G248</f>
        <v>1.2076274001747538</v>
      </c>
      <c r="E269" s="101" t="s">
        <v>112</v>
      </c>
      <c r="F269" s="105">
        <f>+D269*unhrsyr</f>
        <v>10578.816025530843</v>
      </c>
      <c r="G269" s="101" t="s">
        <v>83</v>
      </c>
      <c r="H269" s="100"/>
      <c r="I269" s="105">
        <f>+D262*G248</f>
        <v>483.05096006990152</v>
      </c>
      <c r="J269" s="101" t="s">
        <v>84</v>
      </c>
      <c r="K269" s="100"/>
    </row>
    <row r="270" spans="1:11" x14ac:dyDescent="0.2">
      <c r="A270" s="10" t="s">
        <v>219</v>
      </c>
      <c r="D270" s="89">
        <f>+D255*G248</f>
        <v>0.11294356980051655</v>
      </c>
      <c r="E270" s="56" t="s">
        <v>112</v>
      </c>
      <c r="F270" s="90">
        <f>+D270*unhrsyr</f>
        <v>989.385671452525</v>
      </c>
      <c r="G270" s="56" t="s">
        <v>83</v>
      </c>
      <c r="H270" s="55"/>
      <c r="I270" s="90">
        <f>+D263*G248</f>
        <v>45.177427920206611</v>
      </c>
      <c r="J270" s="56" t="s">
        <v>84</v>
      </c>
      <c r="K270" s="55"/>
    </row>
    <row r="271" spans="1:11" x14ac:dyDescent="0.2">
      <c r="D271" s="1">
        <f>SUM(D266:D270)</f>
        <v>3.2261208100406256</v>
      </c>
      <c r="E271" s="10" t="s">
        <v>112</v>
      </c>
      <c r="F271" s="30">
        <f>SUM(F266:F270)</f>
        <v>28260.818295955884</v>
      </c>
      <c r="I271" s="30">
        <f>SUM(I266:I270)</f>
        <v>1290.4483240162504</v>
      </c>
    </row>
    <row r="273" spans="1:11" x14ac:dyDescent="0.2">
      <c r="A273" t="s">
        <v>20</v>
      </c>
      <c r="D273">
        <v>26.5</v>
      </c>
      <c r="E273" s="10" t="s">
        <v>137</v>
      </c>
      <c r="G273" s="10">
        <v>15</v>
      </c>
      <c r="H273" s="10" t="s">
        <v>218</v>
      </c>
    </row>
    <row r="274" spans="1:11" x14ac:dyDescent="0.2">
      <c r="A274" t="s">
        <v>21</v>
      </c>
      <c r="D274">
        <v>26.5</v>
      </c>
      <c r="E274" s="10" t="s">
        <v>137</v>
      </c>
      <c r="G274" s="10">
        <v>15</v>
      </c>
      <c r="H274" s="10" t="s">
        <v>218</v>
      </c>
    </row>
    <row r="275" spans="1:11" x14ac:dyDescent="0.2">
      <c r="A275" t="s">
        <v>22</v>
      </c>
      <c r="D275">
        <v>26.5</v>
      </c>
      <c r="E275" s="10" t="s">
        <v>137</v>
      </c>
      <c r="G275" s="10">
        <v>15</v>
      </c>
      <c r="H275" s="10" t="s">
        <v>218</v>
      </c>
    </row>
    <row r="276" spans="1:11" x14ac:dyDescent="0.2">
      <c r="A276" t="s">
        <v>23</v>
      </c>
      <c r="D276">
        <v>25</v>
      </c>
      <c r="E276" s="10" t="s">
        <v>137</v>
      </c>
    </row>
    <row r="277" spans="1:11" x14ac:dyDescent="0.2">
      <c r="A277" s="10" t="s">
        <v>227</v>
      </c>
      <c r="D277" s="12">
        <f>+(G277+G277+(F255*8.34/2000))/2</f>
        <v>23.34</v>
      </c>
      <c r="E277" s="10" t="s">
        <v>137</v>
      </c>
      <c r="G277" s="10">
        <v>15</v>
      </c>
      <c r="H277" s="10" t="s">
        <v>218</v>
      </c>
    </row>
    <row r="278" spans="1:11" x14ac:dyDescent="0.2">
      <c r="E278" s="10"/>
    </row>
    <row r="279" spans="1:11" x14ac:dyDescent="0.2">
      <c r="D279" s="137" t="s">
        <v>240</v>
      </c>
      <c r="E279" s="137"/>
      <c r="F279" s="137"/>
      <c r="G279" s="137"/>
      <c r="H279" s="137" t="s">
        <v>241</v>
      </c>
      <c r="I279" s="137"/>
      <c r="J279" s="137"/>
      <c r="K279" s="137"/>
    </row>
    <row r="280" spans="1:11" x14ac:dyDescent="0.2">
      <c r="A280" s="10"/>
      <c r="B280" s="10"/>
      <c r="D280" s="137" t="s">
        <v>50</v>
      </c>
      <c r="E280" s="137"/>
      <c r="F280" s="137"/>
      <c r="G280" s="137"/>
      <c r="H280" s="137" t="s">
        <v>50</v>
      </c>
      <c r="I280" s="137"/>
      <c r="J280" s="137"/>
      <c r="K280" s="137"/>
    </row>
    <row r="281" spans="1:11" x14ac:dyDescent="0.2">
      <c r="A281" t="s">
        <v>24</v>
      </c>
      <c r="D281" s="96">
        <f>C$232*(C$241/12)^C$235*(D273/3)^C$238*D266</f>
        <v>1.0593985748791612</v>
      </c>
      <c r="E281" s="96" t="s">
        <v>11</v>
      </c>
      <c r="F281" s="105">
        <f>+D281*unhrsyr/2000</f>
        <v>4.6401657579707258</v>
      </c>
      <c r="G281" s="96" t="s">
        <v>55</v>
      </c>
      <c r="H281" s="97">
        <f>C$232*(C$241/12)^C$235*(D273/3)^C$238*D266*(1-D$243/100)</f>
        <v>5.296992874395811E-2</v>
      </c>
      <c r="I281" s="96" t="s">
        <v>11</v>
      </c>
      <c r="J281" s="98">
        <f>C$232*(C$241/12)^C$235*(D273/3)^C$238*I266/2000*((365-C$242)/365)*(1-D$243/100)</f>
        <v>8.5622624545028184E-3</v>
      </c>
      <c r="K281" s="96" t="s">
        <v>55</v>
      </c>
    </row>
    <row r="282" spans="1:11" x14ac:dyDescent="0.2">
      <c r="A282" t="s">
        <v>25</v>
      </c>
      <c r="D282" s="96">
        <f t="shared" ref="D282:D285" si="8">C$232*(C$241/12)^C$235*(D274/3)^C$238*D267</f>
        <v>0.28597262143977364</v>
      </c>
      <c r="E282" s="96" t="s">
        <v>11</v>
      </c>
      <c r="F282" s="105">
        <f>+D282*unhrsyr/2000</f>
        <v>1.2525600819062086</v>
      </c>
      <c r="G282" s="96" t="s">
        <v>55</v>
      </c>
      <c r="H282" s="97">
        <f>C$232*(C$241/12)^C$235*(D274/3)^C$238*D267*(1-D$243/100)</f>
        <v>1.4298631071988695E-2</v>
      </c>
      <c r="I282" s="96" t="s">
        <v>11</v>
      </c>
      <c r="J282" s="98">
        <f>C$232*(C$241/12)^C$235*(D274/3)^C$238*I267/2000*((365-C$242)/365)*(1-D$243/100)</f>
        <v>2.3112855705406379E-3</v>
      </c>
      <c r="K282" s="96" t="s">
        <v>55</v>
      </c>
    </row>
    <row r="283" spans="1:11" x14ac:dyDescent="0.2">
      <c r="A283" t="s">
        <v>26</v>
      </c>
      <c r="D283" s="96">
        <f t="shared" si="8"/>
        <v>11.758948054142182</v>
      </c>
      <c r="E283" s="96" t="s">
        <v>11</v>
      </c>
      <c r="F283" s="105">
        <f>+D283*unhrsyr/2000</f>
        <v>51.504192477142759</v>
      </c>
      <c r="G283" s="96" t="s">
        <v>55</v>
      </c>
      <c r="H283" s="96">
        <f>C$232*(C$241/12)^C$235*(D275/3)^C$238*D268*(1-D$243/100)</f>
        <v>0.58794740270710966</v>
      </c>
      <c r="I283" s="96" t="s">
        <v>11</v>
      </c>
      <c r="J283" s="96">
        <f>C$232*(C$241/12)^C$235*(D275/3)^C$238*I268/2000*((365-C$242)/365)*(1-D$243/100)</f>
        <v>9.503807331429992E-2</v>
      </c>
      <c r="K283" s="96" t="s">
        <v>55</v>
      </c>
    </row>
    <row r="284" spans="1:11" x14ac:dyDescent="0.2">
      <c r="A284" t="s">
        <v>27</v>
      </c>
      <c r="D284" s="96">
        <f t="shared" si="8"/>
        <v>8.0898314174379493</v>
      </c>
      <c r="E284" s="96" t="s">
        <v>11</v>
      </c>
      <c r="F284" s="105">
        <f>+D284*unhrsyr/2000</f>
        <v>35.433461608378217</v>
      </c>
      <c r="G284" s="96" t="s">
        <v>55</v>
      </c>
      <c r="H284" s="96">
        <f>C$232*(C$241/12)^C$235*(D276/3)^C$238*D269*(1-D$243/100)</f>
        <v>0.4044915708718978</v>
      </c>
      <c r="I284" s="96" t="s">
        <v>11</v>
      </c>
      <c r="J284" s="97">
        <f>C$232*(C$241/12)^C$235*(D276/3)^C$238*I269/2000*((365-C$242)/365)*(1-D$243/100)</f>
        <v>6.5383568990251981E-2</v>
      </c>
      <c r="K284" s="96" t="s">
        <v>55</v>
      </c>
    </row>
    <row r="285" spans="1:11" x14ac:dyDescent="0.2">
      <c r="A285" s="56" t="s">
        <v>228</v>
      </c>
      <c r="B285" s="55"/>
      <c r="C285" s="55"/>
      <c r="D285" s="106">
        <f t="shared" si="8"/>
        <v>0.73356804194853709</v>
      </c>
      <c r="E285" s="106" t="s">
        <v>11</v>
      </c>
      <c r="F285" s="90">
        <f>+D285*unhrsyr/2000</f>
        <v>3.2130280237345925</v>
      </c>
      <c r="G285" s="106" t="s">
        <v>55</v>
      </c>
      <c r="H285" s="107">
        <f>C$232*(C$241/12)^C$235*(D277/3)^C$238*D270*(1-D$243/100)</f>
        <v>3.6678402097426885E-2</v>
      </c>
      <c r="I285" s="106" t="s">
        <v>11</v>
      </c>
      <c r="J285" s="123">
        <f>C$232*(C$241/12)^C$235*(D277/3)^C$238*I270/2000*((365-C$242)/365)*(1-D$243/100)</f>
        <v>5.9288375993100991E-3</v>
      </c>
      <c r="K285" s="106" t="s">
        <v>55</v>
      </c>
    </row>
    <row r="286" spans="1:11" x14ac:dyDescent="0.2">
      <c r="C286" s="17" t="s">
        <v>58</v>
      </c>
      <c r="D286" s="30">
        <f>SUM(D281:D285)</f>
        <v>21.927718709847603</v>
      </c>
      <c r="E286" s="96" t="s">
        <v>11</v>
      </c>
      <c r="F286" s="30">
        <f>SUM(F281:F285)</f>
        <v>96.043407949132515</v>
      </c>
      <c r="G286" s="96" t="s">
        <v>55</v>
      </c>
      <c r="H286" s="30">
        <f>SUM(H281:H285)</f>
        <v>1.0963859354923813</v>
      </c>
      <c r="I286" s="96" t="s">
        <v>11</v>
      </c>
      <c r="J286" s="96">
        <f>SUM(J281:J285)</f>
        <v>0.17722402792890543</v>
      </c>
      <c r="K286" s="96" t="s">
        <v>55</v>
      </c>
    </row>
    <row r="287" spans="1:11" x14ac:dyDescent="0.2">
      <c r="A287" s="10"/>
      <c r="B287" s="10"/>
      <c r="D287" s="138" t="s">
        <v>73</v>
      </c>
      <c r="E287" s="138"/>
      <c r="F287" s="138"/>
      <c r="G287" s="138"/>
      <c r="H287" s="138" t="s">
        <v>73</v>
      </c>
      <c r="I287" s="138"/>
      <c r="J287" s="138"/>
      <c r="K287" s="138"/>
    </row>
    <row r="288" spans="1:11" x14ac:dyDescent="0.2">
      <c r="A288" t="s">
        <v>24</v>
      </c>
      <c r="B288" s="10"/>
      <c r="D288" s="128">
        <f>C$233*(C$241/12)^C$236*(D273/3)^C$239*D266</f>
        <v>0.27000173921406706</v>
      </c>
      <c r="E288" s="96" t="s">
        <v>11</v>
      </c>
      <c r="F288" s="105">
        <f>+D288*unhrsyr/2000</f>
        <v>1.1826076177576137</v>
      </c>
      <c r="G288" s="96" t="s">
        <v>55</v>
      </c>
      <c r="H288" s="97">
        <f>C$233*(C$241/12)^C$236*(D273/3)^C$239*D266*(1-D$243/100)</f>
        <v>1.3500086960703366E-2</v>
      </c>
      <c r="I288" s="96" t="s">
        <v>11</v>
      </c>
      <c r="J288" s="98">
        <f>C$233*(C$241/12)^C$236*(D273/3)^C$239*I266/2000*((365-C$242)/365)*(1-D$243/100)</f>
        <v>2.1822058374835578E-3</v>
      </c>
      <c r="K288" s="96" t="s">
        <v>55</v>
      </c>
    </row>
    <row r="289" spans="1:11" x14ac:dyDescent="0.2">
      <c r="A289" t="s">
        <v>25</v>
      </c>
      <c r="B289" s="10"/>
      <c r="D289" s="127">
        <f t="shared" ref="D289:D292" si="9">C$233*(C$241/12)^C$236*(D274/3)^C$239*D267</f>
        <v>7.2883905063919951E-2</v>
      </c>
      <c r="E289" s="96" t="s">
        <v>11</v>
      </c>
      <c r="F289" s="105">
        <f>+D289*unhrsyr/2000</f>
        <v>0.31923150417996937</v>
      </c>
      <c r="G289" s="96" t="s">
        <v>55</v>
      </c>
      <c r="H289" s="98">
        <f>C$233*(C$241/12)^C$236*(D274/3)^C$239*D267*(1-D$243/100)</f>
        <v>3.6441952531960009E-3</v>
      </c>
      <c r="I289" s="96" t="s">
        <v>11</v>
      </c>
      <c r="J289" s="38">
        <f>C$233*(C$241/12)^C$236*(D274/3)^C$239*I267/2000*((365-C$242)/365)*(1-D$243/100)</f>
        <v>5.890616984618193E-4</v>
      </c>
      <c r="K289" s="96" t="s">
        <v>55</v>
      </c>
    </row>
    <row r="290" spans="1:11" x14ac:dyDescent="0.2">
      <c r="A290" t="s">
        <v>26</v>
      </c>
      <c r="B290" s="10"/>
      <c r="D290" s="128">
        <f t="shared" si="9"/>
        <v>2.9969234443310473</v>
      </c>
      <c r="E290" s="96" t="s">
        <v>11</v>
      </c>
      <c r="F290" s="105">
        <f>+D290*unhrsyr/2000</f>
        <v>13.126524686169986</v>
      </c>
      <c r="G290" s="96" t="s">
        <v>55</v>
      </c>
      <c r="H290" s="96">
        <f>C$233*(C$241/12)^C$236*(D275/3)^C$239*D268*(1-D$243/100)</f>
        <v>0.1498461722165525</v>
      </c>
      <c r="I290" s="96" t="s">
        <v>11</v>
      </c>
      <c r="J290" s="97">
        <f>C$233*(C$241/12)^C$236*(D275/3)^C$239*I268/2000*((365-C$242)/365)*(1-D$243/100)</f>
        <v>2.4221710029524928E-2</v>
      </c>
      <c r="K290" s="96" t="s">
        <v>55</v>
      </c>
    </row>
    <row r="291" spans="1:11" x14ac:dyDescent="0.2">
      <c r="A291" t="s">
        <v>27</v>
      </c>
      <c r="B291" s="10"/>
      <c r="D291" s="128">
        <f t="shared" si="9"/>
        <v>2.0618005389576752</v>
      </c>
      <c r="E291" s="96" t="s">
        <v>11</v>
      </c>
      <c r="F291" s="105">
        <f>+D291*unhrsyr/2000</f>
        <v>9.0306863606346184</v>
      </c>
      <c r="G291" s="96" t="s">
        <v>55</v>
      </c>
      <c r="H291" s="96">
        <f>C$233*(C$241/12)^C$236*(D276/3)^C$239*D269*(1-D$243/100)</f>
        <v>0.10309002694788386</v>
      </c>
      <c r="I291" s="96" t="s">
        <v>11</v>
      </c>
      <c r="J291" s="97">
        <f>C$233*(C$241/12)^C$236*(D276/3)^C$239*I269/2000*((365-C$242)/365)*(1-D$243/100)</f>
        <v>1.6663867369657939E-2</v>
      </c>
      <c r="K291" s="96" t="s">
        <v>55</v>
      </c>
    </row>
    <row r="292" spans="1:11" x14ac:dyDescent="0.2">
      <c r="A292" s="56" t="s">
        <v>228</v>
      </c>
      <c r="B292" s="56"/>
      <c r="C292" s="55"/>
      <c r="D292" s="106">
        <f t="shared" si="9"/>
        <v>0.18695951821584683</v>
      </c>
      <c r="E292" s="106" t="s">
        <v>11</v>
      </c>
      <c r="F292" s="90">
        <f>+D292*unhrsyr/2000</f>
        <v>0.81888268978540912</v>
      </c>
      <c r="G292" s="106" t="s">
        <v>55</v>
      </c>
      <c r="H292" s="123">
        <f>C$233*(C$241/12)^C$236*(D277/3)^C$239*D270*(1-D$243/100)</f>
        <v>9.3479759107923492E-3</v>
      </c>
      <c r="I292" s="106" t="s">
        <v>11</v>
      </c>
      <c r="J292" s="123">
        <f>C$233*(C$241/12)^C$236*(D277/3)^C$239*I270/2000*((365-C$242)/365)*(1-D$243/100)</f>
        <v>1.5110426814705438E-3</v>
      </c>
      <c r="K292" s="106" t="s">
        <v>55</v>
      </c>
    </row>
    <row r="293" spans="1:11" x14ac:dyDescent="0.2">
      <c r="A293" s="10"/>
      <c r="B293" s="10"/>
      <c r="C293" s="17" t="s">
        <v>58</v>
      </c>
      <c r="D293" s="30">
        <f>SUM(D288:D292)</f>
        <v>5.5885691457825564</v>
      </c>
      <c r="E293" s="96" t="s">
        <v>11</v>
      </c>
      <c r="F293" s="30">
        <f>SUM(F288:F292)</f>
        <v>24.477932858527595</v>
      </c>
      <c r="G293" s="96" t="s">
        <v>55</v>
      </c>
      <c r="H293" s="30">
        <f>SUM(H288:H292)</f>
        <v>0.27942845728912807</v>
      </c>
      <c r="I293" s="96" t="s">
        <v>11</v>
      </c>
      <c r="J293" s="97">
        <f>SUM(J288:J292)</f>
        <v>4.5167887616598783E-2</v>
      </c>
      <c r="K293" s="96" t="s">
        <v>55</v>
      </c>
    </row>
    <row r="294" spans="1:11" x14ac:dyDescent="0.2">
      <c r="A294" s="10"/>
      <c r="B294" s="10"/>
      <c r="D294" s="137" t="s">
        <v>78</v>
      </c>
      <c r="E294" s="137"/>
      <c r="F294" s="137"/>
      <c r="G294" s="137"/>
      <c r="H294" s="137" t="s">
        <v>78</v>
      </c>
      <c r="I294" s="137"/>
      <c r="J294" s="137"/>
      <c r="K294" s="137"/>
    </row>
    <row r="295" spans="1:11" x14ac:dyDescent="0.2">
      <c r="A295" t="s">
        <v>24</v>
      </c>
      <c r="B295" s="10"/>
      <c r="D295" s="127">
        <f>C$234*(C$241/12)^C$237*(D273/3)^C$240*D266</f>
        <v>2.7000173921406707E-2</v>
      </c>
      <c r="E295" s="96" t="s">
        <v>11</v>
      </c>
      <c r="F295" s="105">
        <f>+D295*unhrsyr/2000</f>
        <v>0.11826076177576138</v>
      </c>
      <c r="G295" s="96" t="s">
        <v>55</v>
      </c>
      <c r="H295" s="98">
        <f>C$234*(C$241/12)^C$237*(D273/3)^C$240*D266*(1-D$243/100)</f>
        <v>1.3500086960703366E-3</v>
      </c>
      <c r="I295" s="96" t="s">
        <v>11</v>
      </c>
      <c r="J295" s="38">
        <f>C$234*(C$241/12)^C$237*(D273/3)^C$240*I266/2000*((365-C$242)/365)*(1-D$243/100)</f>
        <v>2.1822058374835576E-4</v>
      </c>
      <c r="K295" s="96" t="s">
        <v>55</v>
      </c>
    </row>
    <row r="296" spans="1:11" x14ac:dyDescent="0.2">
      <c r="A296" t="s">
        <v>25</v>
      </c>
      <c r="D296" s="129">
        <f t="shared" ref="D296:D299" si="10">C$234*(C$241/12)^C$237*(D274/3)^C$240*D267</f>
        <v>7.2883905063919948E-3</v>
      </c>
      <c r="E296" s="96" t="s">
        <v>11</v>
      </c>
      <c r="F296" s="105">
        <f>+D296*unhrsyr/2000</f>
        <v>3.1923150417996933E-2</v>
      </c>
      <c r="G296" s="96" t="s">
        <v>55</v>
      </c>
      <c r="H296" s="38">
        <f>C$234*(C$241/12)^C$237*(D274/3)^C$240*D267*(1-D$243/100)</f>
        <v>3.6441952531960004E-4</v>
      </c>
      <c r="I296" s="96" t="s">
        <v>11</v>
      </c>
      <c r="J296" s="125">
        <f>C$234*(C$241/12)^C$237*(D274/3)^C$240*I267/2000*((365-C$242)/365)*(1-D$243/100)</f>
        <v>5.8906169846181927E-5</v>
      </c>
      <c r="K296" s="96" t="s">
        <v>55</v>
      </c>
    </row>
    <row r="297" spans="1:11" x14ac:dyDescent="0.2">
      <c r="A297" t="s">
        <v>26</v>
      </c>
      <c r="D297" s="128">
        <f t="shared" si="10"/>
        <v>0.29969234443310472</v>
      </c>
      <c r="E297" s="96" t="s">
        <v>11</v>
      </c>
      <c r="F297" s="105">
        <f>+D297*unhrsyr/2000</f>
        <v>1.3126524686169987</v>
      </c>
      <c r="G297" s="96" t="s">
        <v>55</v>
      </c>
      <c r="H297" s="97">
        <f>C$234*(C$241/12)^C$237*(D275/3)^C$240*D268*(1-D$243/100)</f>
        <v>1.4984617221655248E-2</v>
      </c>
      <c r="I297" s="96" t="s">
        <v>11</v>
      </c>
      <c r="J297" s="98">
        <f>C$234*(C$241/12)^C$237*(D275/3)^C$240*I268/2000*((365-C$242)/365)*(1-D$243/100)</f>
        <v>2.4221710029524927E-3</v>
      </c>
      <c r="K297" s="96" t="s">
        <v>55</v>
      </c>
    </row>
    <row r="298" spans="1:11" x14ac:dyDescent="0.2">
      <c r="A298" t="s">
        <v>27</v>
      </c>
      <c r="D298" s="128">
        <f t="shared" si="10"/>
        <v>0.20618005389576752</v>
      </c>
      <c r="E298" s="96" t="s">
        <v>11</v>
      </c>
      <c r="F298" s="105">
        <f>+D298*unhrsyr/2000</f>
        <v>0.90306863606346177</v>
      </c>
      <c r="G298" s="96" t="s">
        <v>55</v>
      </c>
      <c r="H298" s="97">
        <f>C$234*(C$241/12)^C$237*(D276/3)^C$240*D269*(1-D$243/100)</f>
        <v>1.0309002694788384E-2</v>
      </c>
      <c r="I298" s="96" t="s">
        <v>11</v>
      </c>
      <c r="J298" s="98">
        <f>C$234*(C$241/12)^C$237*(D276/3)^C$240*I269/2000*((365-C$242)/365)*(1-D$243/100)</f>
        <v>1.6663867369657937E-3</v>
      </c>
      <c r="K298" s="96" t="s">
        <v>55</v>
      </c>
    </row>
    <row r="299" spans="1:11" x14ac:dyDescent="0.2">
      <c r="A299" s="56" t="s">
        <v>228</v>
      </c>
      <c r="B299" s="55"/>
      <c r="C299" s="55"/>
      <c r="D299" s="107">
        <f t="shared" si="10"/>
        <v>1.8695951821584681E-2</v>
      </c>
      <c r="E299" s="106" t="s">
        <v>11</v>
      </c>
      <c r="F299" s="90">
        <f>+D299*unhrsyr/2000</f>
        <v>8.1888268978540901E-2</v>
      </c>
      <c r="G299" s="106" t="s">
        <v>55</v>
      </c>
      <c r="H299" s="124">
        <f>C$234*(C$241/12)^C$237*(D277/3)^C$240*D270*(1-D$243/100)</f>
        <v>9.3479759107923483E-4</v>
      </c>
      <c r="I299" s="106" t="s">
        <v>11</v>
      </c>
      <c r="J299" s="124">
        <f>C$234*(C$241/12)^C$237*(D277/3)^C$240*I270/2000*((365-C$242)/365)*(1-D$243/100)</f>
        <v>1.5110426814705439E-4</v>
      </c>
      <c r="K299" s="106" t="s">
        <v>55</v>
      </c>
    </row>
    <row r="300" spans="1:11" x14ac:dyDescent="0.2">
      <c r="C300" s="17" t="s">
        <v>58</v>
      </c>
      <c r="D300" s="30">
        <f>SUM(D295:D299)</f>
        <v>0.55885691457825559</v>
      </c>
      <c r="E300" s="97" t="s">
        <v>11</v>
      </c>
      <c r="F300" s="30">
        <f>SUM(F295:F299)</f>
        <v>2.4477932858527596</v>
      </c>
      <c r="G300" s="97" t="s">
        <v>55</v>
      </c>
      <c r="H300" s="22">
        <f>SUM(H295:H299)</f>
        <v>2.7942845728912806E-2</v>
      </c>
      <c r="I300" s="97" t="s">
        <v>11</v>
      </c>
      <c r="J300" s="98">
        <f>SUM(J295:J299)</f>
        <v>4.5167887616598783E-3</v>
      </c>
      <c r="K300" s="97" t="s">
        <v>55</v>
      </c>
    </row>
  </sheetData>
  <mergeCells count="15">
    <mergeCell ref="D280:G280"/>
    <mergeCell ref="D287:G287"/>
    <mergeCell ref="D294:G294"/>
    <mergeCell ref="F25:G25"/>
    <mergeCell ref="F82:G82"/>
    <mergeCell ref="F45:G45"/>
    <mergeCell ref="F65:G65"/>
    <mergeCell ref="F124:G124"/>
    <mergeCell ref="A185:K185"/>
    <mergeCell ref="A207:K207"/>
    <mergeCell ref="H280:K280"/>
    <mergeCell ref="H287:K287"/>
    <mergeCell ref="H294:K294"/>
    <mergeCell ref="D279:G279"/>
    <mergeCell ref="H279:K279"/>
  </mergeCells>
  <phoneticPr fontId="0" type="noConversion"/>
  <printOptions horizontalCentered="1"/>
  <pageMargins left="0.75" right="0.75" top="0.73906249999999996" bottom="0.37" header="0.4" footer="0.42"/>
  <pageSetup scale="55" fitToHeight="0" orientation="portrait" r:id="rId1"/>
  <headerFooter alignWithMargins="0">
    <oddHeader>&amp;C&amp;"Times New Roman,Bold"&amp;12Roper Construction, Inc. Alto Concrete Batch Plant Emissions Inventory
125 CuFt/Hr; 50,000 CuFt per Year</oddHeader>
  </headerFooter>
  <rowBreaks count="3" manualBreakCount="3">
    <brk id="75" max="10" man="1"/>
    <brk id="160" max="10" man="1"/>
    <brk id="22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view="pageLayout" zoomScaleNormal="100" workbookViewId="0">
      <selection activeCell="A2" sqref="A2"/>
    </sheetView>
  </sheetViews>
  <sheetFormatPr defaultRowHeight="12.75" x14ac:dyDescent="0.2"/>
  <cols>
    <col min="1" max="1" width="17.1640625" customWidth="1"/>
    <col min="3" max="3" width="12.1640625" customWidth="1"/>
    <col min="5" max="5" width="16.83203125" customWidth="1"/>
    <col min="6" max="6" width="7.1640625" customWidth="1"/>
  </cols>
  <sheetData>
    <row r="1" spans="1:7" ht="17.25" customHeight="1" x14ac:dyDescent="0.2">
      <c r="A1" s="8" t="s">
        <v>97</v>
      </c>
      <c r="G1" s="10"/>
    </row>
    <row r="2" spans="1:7" x14ac:dyDescent="0.2">
      <c r="A2" s="10" t="s">
        <v>198</v>
      </c>
      <c r="C2" s="10" t="s">
        <v>85</v>
      </c>
      <c r="F2" s="10"/>
    </row>
    <row r="3" spans="1:7" x14ac:dyDescent="0.2">
      <c r="A3" s="10" t="s">
        <v>195</v>
      </c>
      <c r="C3" s="10" t="s">
        <v>119</v>
      </c>
      <c r="F3" s="10"/>
    </row>
    <row r="4" spans="1:7" x14ac:dyDescent="0.2">
      <c r="A4" t="s">
        <v>185</v>
      </c>
      <c r="D4" s="64" t="s">
        <v>186</v>
      </c>
    </row>
    <row r="5" spans="1:7" x14ac:dyDescent="0.2">
      <c r="B5">
        <v>600000</v>
      </c>
      <c r="C5" t="s">
        <v>187</v>
      </c>
      <c r="E5" t="s">
        <v>98</v>
      </c>
      <c r="F5">
        <v>945</v>
      </c>
      <c r="G5" s="10" t="s">
        <v>188</v>
      </c>
    </row>
    <row r="6" spans="1:7" x14ac:dyDescent="0.2">
      <c r="B6" s="12">
        <f>+B5/F5</f>
        <v>634.92063492063494</v>
      </c>
      <c r="C6" s="10" t="s">
        <v>189</v>
      </c>
      <c r="E6" t="s">
        <v>190</v>
      </c>
      <c r="F6" s="21">
        <v>0.75</v>
      </c>
      <c r="G6" s="10" t="s">
        <v>191</v>
      </c>
    </row>
    <row r="8" spans="1:7" x14ac:dyDescent="0.2">
      <c r="A8" t="s">
        <v>62</v>
      </c>
      <c r="C8">
        <v>8760</v>
      </c>
    </row>
    <row r="9" spans="1:7" x14ac:dyDescent="0.2">
      <c r="A9" t="s">
        <v>63</v>
      </c>
      <c r="C9">
        <v>8760</v>
      </c>
    </row>
    <row r="11" spans="1:7" ht="12.75" customHeight="1" x14ac:dyDescent="0.2">
      <c r="A11" t="s">
        <v>47</v>
      </c>
    </row>
    <row r="12" spans="1:7" ht="12.75" customHeight="1" x14ac:dyDescent="0.2">
      <c r="A12" t="s">
        <v>51</v>
      </c>
      <c r="B12" s="19">
        <v>100</v>
      </c>
      <c r="C12" s="10" t="s">
        <v>192</v>
      </c>
    </row>
    <row r="13" spans="1:7" x14ac:dyDescent="0.2">
      <c r="A13" t="s">
        <v>48</v>
      </c>
      <c r="B13" s="19">
        <v>84</v>
      </c>
      <c r="C13" s="10" t="s">
        <v>192</v>
      </c>
    </row>
    <row r="14" spans="1:7" x14ac:dyDescent="0.2">
      <c r="A14" t="s">
        <v>49</v>
      </c>
      <c r="B14" s="19">
        <v>11</v>
      </c>
      <c r="C14" s="10" t="s">
        <v>192</v>
      </c>
    </row>
    <row r="15" spans="1:7" x14ac:dyDescent="0.2">
      <c r="A15" t="s">
        <v>64</v>
      </c>
      <c r="B15" s="64">
        <v>0.75</v>
      </c>
      <c r="C15" s="10" t="s">
        <v>191</v>
      </c>
    </row>
    <row r="16" spans="1:7" x14ac:dyDescent="0.2">
      <c r="A16" t="s">
        <v>50</v>
      </c>
      <c r="B16" s="19">
        <v>7.6</v>
      </c>
      <c r="C16" s="10" t="s">
        <v>192</v>
      </c>
    </row>
    <row r="18" spans="1:5" x14ac:dyDescent="0.2">
      <c r="A18" t="s">
        <v>60</v>
      </c>
    </row>
    <row r="19" spans="1:5" x14ac:dyDescent="0.2">
      <c r="A19" t="s">
        <v>51</v>
      </c>
      <c r="B19" s="22">
        <f>+B12*B$6/1000000</f>
        <v>6.3492063492063489E-2</v>
      </c>
      <c r="C19" t="s">
        <v>11</v>
      </c>
      <c r="D19" s="30">
        <f>+B19*C$8/2000</f>
        <v>0.27809523809523806</v>
      </c>
      <c r="E19" s="10" t="s">
        <v>193</v>
      </c>
    </row>
    <row r="20" spans="1:5" x14ac:dyDescent="0.2">
      <c r="A20" t="s">
        <v>48</v>
      </c>
      <c r="B20" s="22">
        <f t="shared" ref="B20:B23" si="0">+B13*B$6/1000000</f>
        <v>5.3333333333333337E-2</v>
      </c>
      <c r="C20" t="s">
        <v>11</v>
      </c>
      <c r="D20" s="30">
        <f t="shared" ref="D20:D23" si="1">+B20*C$8/2000</f>
        <v>0.23360000000000003</v>
      </c>
      <c r="E20" s="10" t="s">
        <v>193</v>
      </c>
    </row>
    <row r="21" spans="1:5" x14ac:dyDescent="0.2">
      <c r="A21" t="s">
        <v>49</v>
      </c>
      <c r="B21" s="58">
        <f t="shared" si="0"/>
        <v>6.9841269841269841E-3</v>
      </c>
      <c r="C21" t="s">
        <v>11</v>
      </c>
      <c r="D21" s="22">
        <f t="shared" si="1"/>
        <v>3.0590476190476192E-2</v>
      </c>
      <c r="E21" s="10" t="s">
        <v>193</v>
      </c>
    </row>
    <row r="22" spans="1:5" x14ac:dyDescent="0.2">
      <c r="A22" t="s">
        <v>194</v>
      </c>
      <c r="B22" s="1">
        <f>+B15*B$6/100/7000</f>
        <v>6.8027210884353737E-4</v>
      </c>
      <c r="C22" t="s">
        <v>11</v>
      </c>
      <c r="D22" s="58">
        <f>+B22*C$8/2000</f>
        <v>2.9795918367346934E-3</v>
      </c>
      <c r="E22" s="10" t="s">
        <v>193</v>
      </c>
    </row>
    <row r="23" spans="1:5" x14ac:dyDescent="0.2">
      <c r="A23" t="s">
        <v>50</v>
      </c>
      <c r="B23" s="58">
        <f t="shared" si="0"/>
        <v>4.8253968253968247E-3</v>
      </c>
      <c r="C23" t="s">
        <v>11</v>
      </c>
      <c r="D23" s="22">
        <f t="shared" si="1"/>
        <v>2.1135238095238089E-2</v>
      </c>
      <c r="E23" s="10" t="s">
        <v>193</v>
      </c>
    </row>
    <row r="24" spans="1:5" x14ac:dyDescent="0.2">
      <c r="B24" s="22"/>
      <c r="D24" s="22"/>
    </row>
    <row r="25" spans="1:5" x14ac:dyDescent="0.2">
      <c r="B25" s="22"/>
      <c r="D25" s="22"/>
    </row>
    <row r="26" spans="1:5" x14ac:dyDescent="0.2">
      <c r="A26" t="s">
        <v>61</v>
      </c>
      <c r="B26" s="22"/>
      <c r="D26" s="22"/>
    </row>
    <row r="27" spans="1:5" x14ac:dyDescent="0.2">
      <c r="A27" t="s">
        <v>51</v>
      </c>
      <c r="B27" s="83">
        <f>+B12*B$6/1000000</f>
        <v>6.3492063492063489E-2</v>
      </c>
      <c r="C27" s="82" t="s">
        <v>11</v>
      </c>
      <c r="D27" s="81">
        <f>+B27*C$9/2000</f>
        <v>0.27809523809523806</v>
      </c>
      <c r="E27" s="10" t="s">
        <v>193</v>
      </c>
    </row>
    <row r="28" spans="1:5" x14ac:dyDescent="0.2">
      <c r="A28" t="s">
        <v>48</v>
      </c>
      <c r="B28" s="83">
        <f t="shared" ref="B28:B31" si="2">+B13*B$6/1000000</f>
        <v>5.3333333333333337E-2</v>
      </c>
      <c r="C28" s="82" t="s">
        <v>11</v>
      </c>
      <c r="D28" s="81">
        <f t="shared" ref="D28:D31" si="3">+B28*C$9/2000</f>
        <v>0.23360000000000003</v>
      </c>
      <c r="E28" s="10" t="s">
        <v>193</v>
      </c>
    </row>
    <row r="29" spans="1:5" x14ac:dyDescent="0.2">
      <c r="A29" t="s">
        <v>49</v>
      </c>
      <c r="B29" s="84">
        <f t="shared" si="2"/>
        <v>6.9841269841269841E-3</v>
      </c>
      <c r="C29" s="82" t="s">
        <v>11</v>
      </c>
      <c r="D29" s="83">
        <f t="shared" si="3"/>
        <v>3.0590476190476192E-2</v>
      </c>
      <c r="E29" s="10" t="s">
        <v>193</v>
      </c>
    </row>
    <row r="30" spans="1:5" x14ac:dyDescent="0.2">
      <c r="A30" t="s">
        <v>194</v>
      </c>
      <c r="B30" s="85">
        <f>+B15*B$6/100/7000</f>
        <v>6.8027210884353737E-4</v>
      </c>
      <c r="C30" s="82" t="s">
        <v>11</v>
      </c>
      <c r="D30" s="84">
        <f t="shared" si="3"/>
        <v>2.9795918367346934E-3</v>
      </c>
      <c r="E30" s="10" t="s">
        <v>193</v>
      </c>
    </row>
    <row r="31" spans="1:5" x14ac:dyDescent="0.2">
      <c r="A31" t="s">
        <v>50</v>
      </c>
      <c r="B31" s="84">
        <f t="shared" si="2"/>
        <v>4.8253968253968247E-3</v>
      </c>
      <c r="C31" s="82" t="s">
        <v>11</v>
      </c>
      <c r="D31" s="83">
        <f t="shared" si="3"/>
        <v>2.1135238095238089E-2</v>
      </c>
      <c r="E31" s="10" t="s">
        <v>193</v>
      </c>
    </row>
  </sheetData>
  <pageMargins left="0.7" right="0.7" top="0.75" bottom="0.75" header="0.3" footer="0.3"/>
  <pageSetup orientation="portrait" r:id="rId1"/>
  <headerFooter>
    <oddHeader>&amp;C&amp;"Times New Roman,Bold"&amp;12Roper Construction, Inc. Heater Emissions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41"/>
  <sheetViews>
    <sheetView tabSelected="1" topLeftCell="A13" zoomScaleNormal="100" workbookViewId="0">
      <selection activeCell="B21" sqref="B21"/>
    </sheetView>
  </sheetViews>
  <sheetFormatPr defaultRowHeight="12.75" x14ac:dyDescent="0.2"/>
  <cols>
    <col min="1" max="1" width="13.83203125" customWidth="1"/>
    <col min="2" max="2" width="51.1640625" customWidth="1"/>
    <col min="3" max="3" width="10" style="30" customWidth="1"/>
    <col min="4" max="4" width="10" style="12" customWidth="1"/>
    <col min="5" max="5" width="10" style="30" customWidth="1"/>
    <col min="6" max="6" width="10" style="12" customWidth="1"/>
    <col min="7" max="7" width="10" style="30" customWidth="1"/>
    <col min="8" max="8" width="10" style="12" customWidth="1"/>
    <col min="9" max="9" width="10" style="30" customWidth="1"/>
    <col min="10" max="10" width="10" style="12" customWidth="1"/>
    <col min="11" max="11" width="10" style="11" customWidth="1"/>
    <col min="12" max="12" width="10" style="19" customWidth="1"/>
    <col min="13" max="13" width="10" style="11" customWidth="1"/>
    <col min="14" max="14" width="10" style="19" customWidth="1"/>
    <col min="15" max="15" width="10" style="11" customWidth="1"/>
    <col min="16" max="16" width="10" style="19" customWidth="1"/>
  </cols>
  <sheetData>
    <row r="1" spans="1:19" ht="13.5" thickBot="1" x14ac:dyDescent="0.25">
      <c r="A1" s="144" t="s">
        <v>70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</row>
    <row r="2" spans="1:19" ht="13.5" thickTop="1" x14ac:dyDescent="0.2">
      <c r="A2" s="145" t="s">
        <v>71</v>
      </c>
      <c r="B2" s="147" t="s">
        <v>72</v>
      </c>
      <c r="C2" s="141" t="s">
        <v>51</v>
      </c>
      <c r="D2" s="141"/>
      <c r="E2" s="141" t="s">
        <v>48</v>
      </c>
      <c r="F2" s="141"/>
      <c r="G2" s="141" t="s">
        <v>64</v>
      </c>
      <c r="H2" s="141"/>
      <c r="I2" s="141" t="s">
        <v>49</v>
      </c>
      <c r="J2" s="141"/>
      <c r="K2" s="142" t="s">
        <v>50</v>
      </c>
      <c r="L2" s="143"/>
      <c r="M2" s="141" t="s">
        <v>73</v>
      </c>
      <c r="N2" s="143"/>
      <c r="O2" s="141" t="s">
        <v>78</v>
      </c>
      <c r="P2" s="149"/>
    </row>
    <row r="3" spans="1:19" ht="13.5" thickBot="1" x14ac:dyDescent="0.25">
      <c r="A3" s="146"/>
      <c r="B3" s="148"/>
      <c r="C3" s="18" t="s">
        <v>11</v>
      </c>
      <c r="D3" s="14" t="s">
        <v>55</v>
      </c>
      <c r="E3" s="18" t="s">
        <v>11</v>
      </c>
      <c r="F3" s="14" t="s">
        <v>55</v>
      </c>
      <c r="G3" s="18" t="s">
        <v>11</v>
      </c>
      <c r="H3" s="14" t="s">
        <v>55</v>
      </c>
      <c r="I3" s="18" t="s">
        <v>11</v>
      </c>
      <c r="J3" s="14" t="s">
        <v>55</v>
      </c>
      <c r="K3" s="18" t="s">
        <v>11</v>
      </c>
      <c r="L3" s="14" t="s">
        <v>55</v>
      </c>
      <c r="M3" s="18" t="s">
        <v>11</v>
      </c>
      <c r="N3" s="14" t="s">
        <v>55</v>
      </c>
      <c r="O3" s="18" t="s">
        <v>11</v>
      </c>
      <c r="P3" s="23" t="s">
        <v>55</v>
      </c>
    </row>
    <row r="4" spans="1:19" ht="13.5" thickTop="1" x14ac:dyDescent="0.2">
      <c r="A4" s="37">
        <v>1</v>
      </c>
      <c r="B4" s="39" t="s">
        <v>75</v>
      </c>
      <c r="C4" s="24"/>
      <c r="D4" s="93"/>
      <c r="E4" s="24"/>
      <c r="F4" s="93"/>
      <c r="G4" s="24"/>
      <c r="H4" s="93"/>
      <c r="I4" s="24"/>
      <c r="J4" s="93"/>
      <c r="K4" s="126">
        <f>+'Material Handling'!D286</f>
        <v>21.927718709847603</v>
      </c>
      <c r="L4" s="126">
        <f>+'Material Handling'!F286</f>
        <v>96.043407949132515</v>
      </c>
      <c r="M4" s="24">
        <f>+'Material Handling'!D293</f>
        <v>5.5885691457825564</v>
      </c>
      <c r="N4" s="126">
        <f>+'Material Handling'!F293</f>
        <v>24.477932858527595</v>
      </c>
      <c r="O4" s="24">
        <f>+'Material Handling'!D300</f>
        <v>0.55885691457825559</v>
      </c>
      <c r="P4" s="130">
        <f>+'Material Handling'!F300</f>
        <v>2.4477932858527596</v>
      </c>
    </row>
    <row r="5" spans="1:19" ht="15" customHeight="1" x14ac:dyDescent="0.2">
      <c r="A5" s="40">
        <v>2</v>
      </c>
      <c r="B5" s="41" t="s">
        <v>132</v>
      </c>
      <c r="C5" s="13"/>
      <c r="D5" s="15"/>
      <c r="E5" s="13"/>
      <c r="F5" s="15"/>
      <c r="G5" s="13"/>
      <c r="H5" s="15"/>
      <c r="I5" s="13"/>
      <c r="J5" s="15"/>
      <c r="K5" s="13">
        <f>+'Material Handling'!C$67</f>
        <v>0.8345074642940935</v>
      </c>
      <c r="L5" s="13">
        <f>+'Material Handling'!D$67</f>
        <v>3.6551426936081293</v>
      </c>
      <c r="M5" s="13">
        <f>+'Material Handling'!C$68</f>
        <v>0.39469947635531449</v>
      </c>
      <c r="N5" s="13">
        <f>+'Material Handling'!D$68</f>
        <v>1.7287837064362774</v>
      </c>
      <c r="O5" s="25">
        <f>+'Material Handling'!C$69</f>
        <v>5.9768777848090489E-2</v>
      </c>
      <c r="P5" s="29">
        <f>+'Material Handling'!D$69</f>
        <v>0.26178724697463635</v>
      </c>
    </row>
    <row r="6" spans="1:19" ht="15" customHeight="1" x14ac:dyDescent="0.2">
      <c r="A6" s="40">
        <v>3</v>
      </c>
      <c r="B6" s="41" t="s">
        <v>133</v>
      </c>
      <c r="C6" s="13"/>
      <c r="D6" s="15"/>
      <c r="E6" s="13"/>
      <c r="F6" s="15"/>
      <c r="G6" s="13"/>
      <c r="H6" s="15"/>
      <c r="I6" s="13"/>
      <c r="J6" s="15"/>
      <c r="K6" s="13">
        <f>+'Material Handling'!C$84</f>
        <v>0.5625</v>
      </c>
      <c r="L6" s="13">
        <f>+'Material Handling'!D$84</f>
        <v>2.4637500000000001</v>
      </c>
      <c r="M6" s="13">
        <f>+'Material Handling'!C$85</f>
        <v>0.20625000000000002</v>
      </c>
      <c r="N6" s="13">
        <f>+'Material Handling'!D$85</f>
        <v>0.90337500000000015</v>
      </c>
      <c r="O6" s="25">
        <f>+'Material Handling'!C$86</f>
        <v>3.1232142857142858E-2</v>
      </c>
      <c r="P6" s="29">
        <f>+'Material Handling'!D$86</f>
        <v>0.13679678571428572</v>
      </c>
    </row>
    <row r="7" spans="1:19" ht="15" customHeight="1" x14ac:dyDescent="0.2">
      <c r="A7" s="40">
        <v>4</v>
      </c>
      <c r="B7" s="41" t="s">
        <v>134</v>
      </c>
      <c r="C7" s="13"/>
      <c r="D7" s="15"/>
      <c r="E7" s="13"/>
      <c r="F7" s="15"/>
      <c r="G7" s="13"/>
      <c r="H7" s="15"/>
      <c r="I7" s="13"/>
      <c r="J7" s="15"/>
      <c r="K7" s="13">
        <f>+'Material Handling'!C105</f>
        <v>0.5625</v>
      </c>
      <c r="L7" s="13">
        <f>+'Material Handling'!D105</f>
        <v>2.4637500000000001</v>
      </c>
      <c r="M7" s="13">
        <f>+'Material Handling'!C106</f>
        <v>0.20625000000000002</v>
      </c>
      <c r="N7" s="13">
        <f>+'Material Handling'!D106</f>
        <v>0.90337500000000015</v>
      </c>
      <c r="O7" s="25">
        <f>+'Material Handling'!C107</f>
        <v>3.1232142857142858E-2</v>
      </c>
      <c r="P7" s="29">
        <f>+'Material Handling'!D107</f>
        <v>0.13679678571428572</v>
      </c>
    </row>
    <row r="8" spans="1:19" ht="15" customHeight="1" x14ac:dyDescent="0.2">
      <c r="A8" s="40" t="s">
        <v>108</v>
      </c>
      <c r="B8" s="41" t="s">
        <v>79</v>
      </c>
      <c r="C8" s="13"/>
      <c r="D8" s="15"/>
      <c r="E8" s="13"/>
      <c r="F8" s="15"/>
      <c r="G8" s="13"/>
      <c r="H8" s="15"/>
      <c r="I8" s="13"/>
      <c r="J8" s="15"/>
      <c r="K8" s="13">
        <f>+'Material Handling'!C126</f>
        <v>0.5625</v>
      </c>
      <c r="L8" s="13">
        <f>+'Material Handling'!D126</f>
        <v>2.4637500000000001</v>
      </c>
      <c r="M8" s="13">
        <f>+'Material Handling'!C127</f>
        <v>0.20625000000000002</v>
      </c>
      <c r="N8" s="13">
        <f>+'Material Handling'!D127</f>
        <v>0.90337500000000015</v>
      </c>
      <c r="O8" s="25">
        <f>+'Material Handling'!C128</f>
        <v>3.1232142857142858E-2</v>
      </c>
      <c r="P8" s="29">
        <f>+'Material Handling'!D128</f>
        <v>0.13679678571428572</v>
      </c>
    </row>
    <row r="9" spans="1:19" ht="15" customHeight="1" x14ac:dyDescent="0.2">
      <c r="A9" s="40">
        <v>7</v>
      </c>
      <c r="B9" s="41" t="s">
        <v>99</v>
      </c>
      <c r="C9" s="13"/>
      <c r="D9" s="15"/>
      <c r="E9" s="13"/>
      <c r="F9" s="15"/>
      <c r="G9" s="13"/>
      <c r="H9" s="15"/>
      <c r="I9" s="13"/>
      <c r="J9" s="15"/>
      <c r="K9" s="15">
        <f>+'Material Handling'!C149</f>
        <v>43.392375000000001</v>
      </c>
      <c r="L9" s="15">
        <f>+'Material Handling'!D149</f>
        <v>190.05860250000001</v>
      </c>
      <c r="M9" s="15">
        <f>+'Material Handling'!C150</f>
        <v>12.031874999999999</v>
      </c>
      <c r="N9" s="15">
        <f>+'Material Handling'!D150</f>
        <v>52.699612499999994</v>
      </c>
      <c r="O9" s="13">
        <f>+'Material Handling'!C151</f>
        <v>2.1640062949640284</v>
      </c>
      <c r="P9" s="29">
        <f>+'Material Handling'!D151</f>
        <v>9.4783475719424448</v>
      </c>
    </row>
    <row r="10" spans="1:19" ht="15" customHeight="1" x14ac:dyDescent="0.2">
      <c r="A10" s="40">
        <v>8</v>
      </c>
      <c r="B10" s="41" t="s">
        <v>74</v>
      </c>
      <c r="C10" s="13"/>
      <c r="D10" s="15"/>
      <c r="E10" s="13"/>
      <c r="F10" s="15"/>
      <c r="G10" s="13"/>
      <c r="H10" s="15"/>
      <c r="I10" s="13"/>
      <c r="J10" s="15"/>
      <c r="K10" s="15">
        <f>+'Material Handling'!C171</f>
        <v>22.200749999999999</v>
      </c>
      <c r="L10" s="15">
        <f>+'Material Handling'!D171</f>
        <v>97.23928500000001</v>
      </c>
      <c r="M10" s="13">
        <f>+'Material Handling'!C172</f>
        <v>6.0547500000000003</v>
      </c>
      <c r="N10" s="15">
        <f>+'Material Handling'!D172</f>
        <v>26.519805000000002</v>
      </c>
      <c r="O10" s="13">
        <f>+'Material Handling'!C173</f>
        <v>1.1983359375</v>
      </c>
      <c r="P10" s="29">
        <f>+'Material Handling'!D173</f>
        <v>5.2487114062500009</v>
      </c>
    </row>
    <row r="11" spans="1:19" ht="15" customHeight="1" x14ac:dyDescent="0.2">
      <c r="A11" s="40">
        <v>9</v>
      </c>
      <c r="B11" s="41" t="s">
        <v>174</v>
      </c>
      <c r="C11" s="13"/>
      <c r="D11" s="15"/>
      <c r="E11" s="13"/>
      <c r="F11" s="15"/>
      <c r="G11" s="13"/>
      <c r="H11" s="15"/>
      <c r="I11" s="13"/>
      <c r="J11" s="15"/>
      <c r="K11" s="15">
        <f>+'Material Handling'!C193</f>
        <v>22.310624999999998</v>
      </c>
      <c r="L11" s="15">
        <f>+'Material Handling'!D193</f>
        <v>97.720537499999992</v>
      </c>
      <c r="M11" s="15">
        <f>+'Material Handling'!C194</f>
        <v>14.364374999999999</v>
      </c>
      <c r="N11" s="15">
        <f>+'Material Handling'!D194</f>
        <v>62.915962499999992</v>
      </c>
      <c r="O11" s="13">
        <f>+'Material Handling'!C195</f>
        <v>2.8429492187499998</v>
      </c>
      <c r="P11" s="94">
        <f>+'Material Handling'!D195</f>
        <v>12.452117578124998</v>
      </c>
    </row>
    <row r="12" spans="1:19" ht="15" customHeight="1" x14ac:dyDescent="0.2">
      <c r="A12" s="40">
        <v>10</v>
      </c>
      <c r="B12" s="41" t="s">
        <v>173</v>
      </c>
      <c r="C12" s="13"/>
      <c r="D12" s="15"/>
      <c r="E12" s="13"/>
      <c r="F12" s="15"/>
      <c r="G12" s="13"/>
      <c r="H12" s="15"/>
      <c r="I12" s="13"/>
      <c r="J12" s="15"/>
      <c r="K12" s="15">
        <f>+'Material Handling'!C215</f>
        <v>25.905000000000001</v>
      </c>
      <c r="L12" s="15">
        <f>+'Material Handling'!D215</f>
        <v>113.46390000000001</v>
      </c>
      <c r="M12" s="15">
        <f>+'Material Handling'!C215</f>
        <v>25.905000000000001</v>
      </c>
      <c r="N12" s="15">
        <f>+'Material Handling'!D215</f>
        <v>113.46390000000001</v>
      </c>
      <c r="O12" s="13">
        <f>+'Material Handling'!C216</f>
        <v>9.0750000000000011</v>
      </c>
      <c r="P12" s="94">
        <f>+'Material Handling'!D216</f>
        <v>39.748500000000007</v>
      </c>
    </row>
    <row r="13" spans="1:19" ht="15" customHeight="1" x14ac:dyDescent="0.2">
      <c r="A13" s="40">
        <v>11</v>
      </c>
      <c r="B13" s="41" t="s">
        <v>199</v>
      </c>
      <c r="C13" s="13"/>
      <c r="D13" s="15"/>
      <c r="E13" s="13"/>
      <c r="F13" s="15"/>
      <c r="G13" s="13"/>
      <c r="H13" s="15"/>
      <c r="I13" s="13"/>
      <c r="J13" s="15"/>
      <c r="K13" s="13">
        <f>+'Material Handling'!C$27+'Material Handling'!C$47</f>
        <v>1.0921187757891093</v>
      </c>
      <c r="L13" s="13">
        <f>+'Material Handling'!D$27+'Material Handling'!D$47</f>
        <v>4.7834802379562991</v>
      </c>
      <c r="M13" s="13">
        <f>+'Material Handling'!C$28+'Material Handling'!C$48</f>
        <v>0.51654266422457862</v>
      </c>
      <c r="N13" s="13">
        <f>+'Material Handling'!D$28+'Material Handling'!D$48</f>
        <v>2.2624568693036546</v>
      </c>
      <c r="O13" s="25">
        <f>+'Material Handling'!C$29+'Material Handling'!C$49</f>
        <v>7.8219317725436208E-2</v>
      </c>
      <c r="P13" s="29">
        <f>+'Material Handling'!D$29+'Material Handling'!D$49</f>
        <v>0.34260061163741057</v>
      </c>
      <c r="Q13" s="12"/>
      <c r="R13" s="12"/>
      <c r="S13" s="12"/>
    </row>
    <row r="14" spans="1:19" ht="15" customHeight="1" x14ac:dyDescent="0.2">
      <c r="A14" s="40">
        <v>12</v>
      </c>
      <c r="B14" s="41" t="s">
        <v>104</v>
      </c>
      <c r="C14" s="25">
        <f>+Heater!B19</f>
        <v>6.3492063492063489E-2</v>
      </c>
      <c r="D14" s="13">
        <f>+Heater!D19</f>
        <v>0.27809523809523806</v>
      </c>
      <c r="E14" s="25">
        <f>+Heater!B20</f>
        <v>5.3333333333333337E-2</v>
      </c>
      <c r="F14" s="13">
        <f>+Heater!D20</f>
        <v>0.23360000000000003</v>
      </c>
      <c r="G14" s="42">
        <f>+Heater!B22</f>
        <v>6.8027210884353737E-4</v>
      </c>
      <c r="H14" s="66">
        <f>+Heater!D22</f>
        <v>2.9795918367346934E-3</v>
      </c>
      <c r="I14" s="66">
        <f>+Heater!B21</f>
        <v>6.9841269841269841E-3</v>
      </c>
      <c r="J14" s="25">
        <f>+Heater!D21</f>
        <v>3.0590476190476192E-2</v>
      </c>
      <c r="K14" s="66">
        <f>+Heater!B23</f>
        <v>4.8253968253968247E-3</v>
      </c>
      <c r="L14" s="25">
        <f>+Heater!D23</f>
        <v>2.1135238095238089E-2</v>
      </c>
      <c r="M14" s="66">
        <f>+Heater!B23</f>
        <v>4.8253968253968247E-3</v>
      </c>
      <c r="N14" s="25">
        <f>+Heater!D23</f>
        <v>2.1135238095238089E-2</v>
      </c>
      <c r="O14" s="66">
        <f>+Heater!B23</f>
        <v>4.8253968253968247E-3</v>
      </c>
      <c r="P14" s="26">
        <f>+Heater!D23</f>
        <v>2.1135238095238089E-2</v>
      </c>
    </row>
    <row r="15" spans="1:19" ht="15" customHeight="1" thickBot="1" x14ac:dyDescent="0.25">
      <c r="A15" s="46"/>
      <c r="B15" s="47" t="s">
        <v>76</v>
      </c>
      <c r="C15" s="48">
        <f t="shared" ref="C15:P15" si="0">SUM(C4:C14)</f>
        <v>6.3492063492063489E-2</v>
      </c>
      <c r="D15" s="27">
        <f t="shared" si="0"/>
        <v>0.27809523809523806</v>
      </c>
      <c r="E15" s="48">
        <f t="shared" si="0"/>
        <v>5.3333333333333337E-2</v>
      </c>
      <c r="F15" s="27">
        <f t="shared" si="0"/>
        <v>0.23360000000000003</v>
      </c>
      <c r="G15" s="86">
        <f t="shared" si="0"/>
        <v>6.8027210884353737E-4</v>
      </c>
      <c r="H15" s="87">
        <f t="shared" si="0"/>
        <v>2.9795918367346934E-3</v>
      </c>
      <c r="I15" s="87">
        <f t="shared" si="0"/>
        <v>6.9841269841269841E-3</v>
      </c>
      <c r="J15" s="48">
        <f t="shared" si="0"/>
        <v>3.0590476190476192E-2</v>
      </c>
      <c r="K15" s="32">
        <f t="shared" si="0"/>
        <v>139.35542034675623</v>
      </c>
      <c r="L15" s="32">
        <f t="shared" si="0"/>
        <v>610.3767411187921</v>
      </c>
      <c r="M15" s="32">
        <f t="shared" si="0"/>
        <v>65.47938668318784</v>
      </c>
      <c r="N15" s="32">
        <f t="shared" si="0"/>
        <v>286.79971367236277</v>
      </c>
      <c r="O15" s="88">
        <f t="shared" si="0"/>
        <v>16.075658286762636</v>
      </c>
      <c r="P15" s="59">
        <f t="shared" si="0"/>
        <v>70.411383296020347</v>
      </c>
    </row>
    <row r="16" spans="1:19" ht="13.5" thickTop="1" x14ac:dyDescent="0.2">
      <c r="A16" s="3"/>
      <c r="B16" s="28"/>
      <c r="C16" s="19"/>
      <c r="D16" s="34"/>
      <c r="E16" s="19"/>
      <c r="F16" s="34"/>
      <c r="G16" s="11"/>
      <c r="H16" s="11"/>
      <c r="I16" s="11"/>
      <c r="J16" s="19"/>
      <c r="K16" s="19"/>
      <c r="M16" s="19"/>
      <c r="O16" s="19"/>
    </row>
    <row r="17" spans="1:16" ht="13.5" thickBot="1" x14ac:dyDescent="0.25">
      <c r="A17" s="150" t="s">
        <v>77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</row>
    <row r="18" spans="1:16" ht="13.5" thickTop="1" x14ac:dyDescent="0.2">
      <c r="A18" s="145" t="s">
        <v>71</v>
      </c>
      <c r="B18" s="147" t="s">
        <v>72</v>
      </c>
      <c r="C18" s="141" t="s">
        <v>51</v>
      </c>
      <c r="D18" s="141"/>
      <c r="E18" s="141" t="s">
        <v>48</v>
      </c>
      <c r="F18" s="141"/>
      <c r="G18" s="141" t="s">
        <v>64</v>
      </c>
      <c r="H18" s="141"/>
      <c r="I18" s="141" t="s">
        <v>49</v>
      </c>
      <c r="J18" s="141"/>
      <c r="K18" s="142" t="s">
        <v>50</v>
      </c>
      <c r="L18" s="143"/>
      <c r="M18" s="141" t="s">
        <v>73</v>
      </c>
      <c r="N18" s="143"/>
      <c r="O18" s="142" t="s">
        <v>78</v>
      </c>
      <c r="P18" s="149"/>
    </row>
    <row r="19" spans="1:16" ht="13.5" thickBot="1" x14ac:dyDescent="0.25">
      <c r="A19" s="146"/>
      <c r="B19" s="148"/>
      <c r="C19" s="18" t="s">
        <v>11</v>
      </c>
      <c r="D19" s="36" t="s">
        <v>55</v>
      </c>
      <c r="E19" s="18" t="s">
        <v>11</v>
      </c>
      <c r="F19" s="14" t="s">
        <v>55</v>
      </c>
      <c r="G19" s="18" t="s">
        <v>11</v>
      </c>
      <c r="H19" s="14" t="s">
        <v>55</v>
      </c>
      <c r="I19" s="18" t="s">
        <v>11</v>
      </c>
      <c r="J19" s="14" t="s">
        <v>55</v>
      </c>
      <c r="K19" s="18" t="s">
        <v>11</v>
      </c>
      <c r="L19" s="14" t="s">
        <v>55</v>
      </c>
      <c r="M19" s="18" t="s">
        <v>11</v>
      </c>
      <c r="N19" s="14" t="s">
        <v>55</v>
      </c>
      <c r="O19" s="18" t="s">
        <v>11</v>
      </c>
      <c r="P19" s="23" t="s">
        <v>55</v>
      </c>
    </row>
    <row r="20" spans="1:16" ht="13.5" thickTop="1" x14ac:dyDescent="0.2">
      <c r="A20" s="37">
        <v>1</v>
      </c>
      <c r="B20" s="39" t="s">
        <v>75</v>
      </c>
      <c r="C20" s="24"/>
      <c r="D20" s="24"/>
      <c r="E20" s="24"/>
      <c r="F20" s="73"/>
      <c r="G20" s="24"/>
      <c r="H20" s="73"/>
      <c r="I20" s="24"/>
      <c r="J20" s="73"/>
      <c r="K20" s="24">
        <f>+'Material Handling'!H286</f>
        <v>1.0963859354923813</v>
      </c>
      <c r="L20" s="24">
        <f>+'Material Handling'!J286</f>
        <v>0.17722402792890543</v>
      </c>
      <c r="M20" s="24">
        <f>+'Material Handling'!H293</f>
        <v>0.27942845728912807</v>
      </c>
      <c r="N20" s="76">
        <f>+'Material Handling'!J293</f>
        <v>4.5167887616598783E-2</v>
      </c>
      <c r="O20" s="76">
        <f>+'Material Handling'!H300</f>
        <v>2.7942845728912806E-2</v>
      </c>
      <c r="P20" s="121">
        <f>+'Material Handling'!J300</f>
        <v>4.5167887616598783E-3</v>
      </c>
    </row>
    <row r="21" spans="1:16" ht="15" customHeight="1" x14ac:dyDescent="0.2">
      <c r="A21" s="40">
        <v>2</v>
      </c>
      <c r="B21" s="41" t="s">
        <v>132</v>
      </c>
      <c r="C21" s="13"/>
      <c r="D21" s="15"/>
      <c r="E21" s="13"/>
      <c r="F21" s="15"/>
      <c r="G21" s="13"/>
      <c r="H21" s="15"/>
      <c r="I21" s="13"/>
      <c r="J21" s="15"/>
      <c r="K21" s="13">
        <f>+'Material Handling'!C72</f>
        <v>0.8345074642940935</v>
      </c>
      <c r="L21" s="13">
        <f>+'Material Handling'!D72</f>
        <v>0.11573141168357409</v>
      </c>
      <c r="M21" s="13">
        <f>+'Material Handling'!C$73</f>
        <v>0.39469947635531449</v>
      </c>
      <c r="N21" s="25">
        <f>+'Material Handling'!D$73</f>
        <v>5.4737829850339099E-2</v>
      </c>
      <c r="O21" s="25">
        <f>+'Material Handling'!C$74</f>
        <v>5.9768777848090489E-2</v>
      </c>
      <c r="P21" s="67">
        <f>+'Material Handling'!D$74</f>
        <v>8.2888713773370641E-3</v>
      </c>
    </row>
    <row r="22" spans="1:16" ht="15" customHeight="1" x14ac:dyDescent="0.2">
      <c r="A22" s="40">
        <v>3</v>
      </c>
      <c r="B22" s="41" t="s">
        <v>133</v>
      </c>
      <c r="C22" s="13"/>
      <c r="D22" s="15"/>
      <c r="E22" s="13"/>
      <c r="F22" s="15"/>
      <c r="G22" s="13"/>
      <c r="H22" s="15"/>
      <c r="I22" s="13"/>
      <c r="J22" s="15"/>
      <c r="K22" s="25">
        <f>+'Material Handling'!C$93</f>
        <v>2.6249999999999999E-2</v>
      </c>
      <c r="L22" s="66">
        <f>+'Material Handling'!D$93</f>
        <v>5.2499999999999995E-3</v>
      </c>
      <c r="M22" s="66">
        <f>+'Material Handling'!C$94</f>
        <v>8.6250000000000007E-3</v>
      </c>
      <c r="N22" s="66">
        <f>+'Material Handling'!D$94</f>
        <v>1.7250000000000002E-3</v>
      </c>
      <c r="O22" s="66">
        <f>+'Material Handling'!C$95</f>
        <v>2.4375E-3</v>
      </c>
      <c r="P22" s="43">
        <f>+'Material Handling'!D$95</f>
        <v>4.8749999999999998E-4</v>
      </c>
    </row>
    <row r="23" spans="1:16" ht="15" customHeight="1" x14ac:dyDescent="0.2">
      <c r="A23" s="40">
        <v>4</v>
      </c>
      <c r="B23" s="41" t="s">
        <v>134</v>
      </c>
      <c r="C23" s="13"/>
      <c r="D23" s="15"/>
      <c r="E23" s="13"/>
      <c r="F23" s="15"/>
      <c r="G23" s="13"/>
      <c r="H23" s="15"/>
      <c r="I23" s="13"/>
      <c r="J23" s="15"/>
      <c r="K23" s="25">
        <f>+'Material Handling'!C114</f>
        <v>2.6249999999999999E-2</v>
      </c>
      <c r="L23" s="66">
        <f>+'Material Handling'!D114</f>
        <v>5.2499999999999995E-3</v>
      </c>
      <c r="M23" s="66">
        <f>+'Material Handling'!C115</f>
        <v>8.6250000000000007E-3</v>
      </c>
      <c r="N23" s="66">
        <f>+'Material Handling'!D115</f>
        <v>1.7250000000000002E-3</v>
      </c>
      <c r="O23" s="66">
        <f>+'Material Handling'!C116</f>
        <v>2.4375E-3</v>
      </c>
      <c r="P23" s="43">
        <f>+'Material Handling'!D116</f>
        <v>4.8749999999999998E-4</v>
      </c>
    </row>
    <row r="24" spans="1:16" ht="15" customHeight="1" x14ac:dyDescent="0.2">
      <c r="A24" s="40" t="s">
        <v>108</v>
      </c>
      <c r="B24" s="41" t="s">
        <v>79</v>
      </c>
      <c r="C24" s="13"/>
      <c r="D24" s="15"/>
      <c r="E24" s="13"/>
      <c r="F24" s="15"/>
      <c r="G24" s="13"/>
      <c r="H24" s="15"/>
      <c r="I24" s="13"/>
      <c r="J24" s="15"/>
      <c r="K24" s="25">
        <f>+'Material Handling'!C135</f>
        <v>2.6249999999999999E-2</v>
      </c>
      <c r="L24" s="66">
        <f>+'Material Handling'!D135</f>
        <v>5.2499999999999995E-3</v>
      </c>
      <c r="M24" s="66">
        <f>+'Material Handling'!C136</f>
        <v>8.6250000000000007E-3</v>
      </c>
      <c r="N24" s="66">
        <f>+'Material Handling'!D136</f>
        <v>1.7250000000000002E-3</v>
      </c>
      <c r="O24" s="66">
        <f>+'Material Handling'!C137</f>
        <v>2.4375E-3</v>
      </c>
      <c r="P24" s="43">
        <f>+'Material Handling'!D137</f>
        <v>4.8749999999999998E-4</v>
      </c>
    </row>
    <row r="25" spans="1:16" ht="15" customHeight="1" x14ac:dyDescent="0.2">
      <c r="A25" s="40" t="s">
        <v>143</v>
      </c>
      <c r="B25" s="41" t="s">
        <v>144</v>
      </c>
      <c r="C25" s="13"/>
      <c r="D25" s="15"/>
      <c r="E25" s="13"/>
      <c r="F25" s="15"/>
      <c r="G25" s="13"/>
      <c r="H25" s="15"/>
      <c r="I25" s="13"/>
      <c r="J25" s="15"/>
      <c r="K25" s="25">
        <f>+'Material Handling'!C157+'Material Handling'!C179</f>
        <v>6.5593125000000058E-2</v>
      </c>
      <c r="L25" s="25">
        <f>+'Material Handling'!D157+'Material Handling'!D179</f>
        <v>1.3118625000000012E-2</v>
      </c>
      <c r="M25" s="25">
        <f>+'Material Handling'!C158+'Material Handling'!C180</f>
        <v>1.8086625000000016E-2</v>
      </c>
      <c r="N25" s="66">
        <f>+'Material Handling'!D158+'Material Handling'!D180</f>
        <v>3.6173250000000028E-3</v>
      </c>
      <c r="O25" s="66">
        <f>+'Material Handling'!C159+'Material Handling'!C181</f>
        <v>3.2020312500000026E-3</v>
      </c>
      <c r="P25" s="43">
        <f>+'Material Handling'!D159+'Material Handling'!D181</f>
        <v>6.0062343750000053E-4</v>
      </c>
    </row>
    <row r="26" spans="1:16" ht="15" customHeight="1" x14ac:dyDescent="0.2">
      <c r="A26" s="40">
        <v>9</v>
      </c>
      <c r="B26" s="41" t="s">
        <v>176</v>
      </c>
      <c r="C26" s="13"/>
      <c r="D26" s="15"/>
      <c r="E26" s="13"/>
      <c r="F26" s="15"/>
      <c r="G26" s="13"/>
      <c r="H26" s="15"/>
      <c r="I26" s="13"/>
      <c r="J26" s="15"/>
      <c r="K26" s="25">
        <f>+'Material Handling'!C201</f>
        <v>2.2310625000000018E-2</v>
      </c>
      <c r="L26" s="66">
        <f>+'Material Handling'!D201</f>
        <v>4.4621250000000043E-3</v>
      </c>
      <c r="M26" s="25">
        <f>+'Material Handling'!C202</f>
        <v>1.4364375000000011E-2</v>
      </c>
      <c r="N26" s="66">
        <f>+'Material Handling'!D202</f>
        <v>2.8728750000000026E-3</v>
      </c>
      <c r="O26" s="66">
        <f>+'Material Handling'!C203</f>
        <v>3.3148557692307713E-3</v>
      </c>
      <c r="P26" s="43">
        <f>+'Material Handling'!D203</f>
        <v>5.6858984375000052E-4</v>
      </c>
    </row>
    <row r="27" spans="1:16" ht="15" customHeight="1" x14ac:dyDescent="0.2">
      <c r="A27" s="40">
        <v>10</v>
      </c>
      <c r="B27" s="41" t="s">
        <v>175</v>
      </c>
      <c r="C27" s="13"/>
      <c r="D27" s="15"/>
      <c r="E27" s="13"/>
      <c r="F27" s="15"/>
      <c r="G27" s="13"/>
      <c r="H27" s="15"/>
      <c r="I27" s="13"/>
      <c r="J27" s="15"/>
      <c r="K27" s="25">
        <f>+'Material Handling'!C223</f>
        <v>2.5905000000000025E-2</v>
      </c>
      <c r="L27" s="66">
        <f>+'Material Handling'!D223</f>
        <v>5.1810000000000042E-3</v>
      </c>
      <c r="M27" s="66">
        <f>+'Material Handling'!C224</f>
        <v>9.0750000000000101E-3</v>
      </c>
      <c r="N27" s="66">
        <f>+'Material Handling'!D224</f>
        <v>1.8150000000000019E-3</v>
      </c>
      <c r="O27" s="66">
        <f>+'Material Handling'!C225</f>
        <v>2.0942307692307714E-3</v>
      </c>
      <c r="P27" s="43">
        <f>+'Material Handling'!D225</f>
        <v>3.5921875000000043E-4</v>
      </c>
    </row>
    <row r="28" spans="1:16" ht="15" customHeight="1" x14ac:dyDescent="0.2">
      <c r="A28" s="40">
        <v>11</v>
      </c>
      <c r="B28" s="41" t="s">
        <v>199</v>
      </c>
      <c r="C28" s="13"/>
      <c r="D28" s="13"/>
      <c r="E28" s="13"/>
      <c r="F28" s="15"/>
      <c r="G28" s="13"/>
      <c r="H28" s="15"/>
      <c r="I28" s="13"/>
      <c r="J28" s="15"/>
      <c r="K28" s="13">
        <f>+'Material Handling'!C$32+'Material Handling'!C$52</f>
        <v>1.0921187757891093</v>
      </c>
      <c r="L28" s="13">
        <f>+'Material Handling'!D$32+'Material Handling'!D$52</f>
        <v>0.15145753999351602</v>
      </c>
      <c r="M28" s="13">
        <f>+'Material Handling'!C$33+'Material Handling'!C$53</f>
        <v>0.51654266422457862</v>
      </c>
      <c r="N28" s="25">
        <f>+'Material Handling'!D$33+'Material Handling'!D$53</f>
        <v>7.163532296990624E-2</v>
      </c>
      <c r="O28" s="25">
        <f>+'Material Handling'!C$34+'Material Handling'!C$54</f>
        <v>7.8219317725436208E-2</v>
      </c>
      <c r="P28" s="26">
        <f>+'Material Handling'!D$34+'Material Handling'!D$54</f>
        <v>1.0847634621157233E-2</v>
      </c>
    </row>
    <row r="29" spans="1:16" ht="15" customHeight="1" x14ac:dyDescent="0.2">
      <c r="A29" s="40">
        <v>12</v>
      </c>
      <c r="B29" s="41" t="s">
        <v>104</v>
      </c>
      <c r="C29" s="25">
        <f>+Heater!B27</f>
        <v>6.3492063492063489E-2</v>
      </c>
      <c r="D29" s="13">
        <f>+Heater!D27</f>
        <v>0.27809523809523806</v>
      </c>
      <c r="E29" s="25">
        <f>+Heater!B28</f>
        <v>5.3333333333333337E-2</v>
      </c>
      <c r="F29" s="13">
        <f>+Heater!D28</f>
        <v>0.23360000000000003</v>
      </c>
      <c r="G29" s="42">
        <f>+Heater!B30</f>
        <v>6.8027210884353737E-4</v>
      </c>
      <c r="H29" s="66">
        <f>+Heater!D30</f>
        <v>2.9795918367346934E-3</v>
      </c>
      <c r="I29" s="66">
        <f>+Heater!B29</f>
        <v>6.9841269841269841E-3</v>
      </c>
      <c r="J29" s="25">
        <f>+Heater!D29</f>
        <v>3.0590476190476192E-2</v>
      </c>
      <c r="K29" s="66">
        <f>+Heater!B31</f>
        <v>4.8253968253968247E-3</v>
      </c>
      <c r="L29" s="25">
        <f>+Heater!D31</f>
        <v>2.1135238095238089E-2</v>
      </c>
      <c r="M29" s="66">
        <f>+Heater!B31</f>
        <v>4.8253968253968247E-3</v>
      </c>
      <c r="N29" s="25">
        <f>+Heater!D31</f>
        <v>2.1135238095238089E-2</v>
      </c>
      <c r="O29" s="66">
        <f>+Heater!B31</f>
        <v>4.8253968253968247E-3</v>
      </c>
      <c r="P29" s="26">
        <f>+Heater!D31</f>
        <v>2.1135238095238089E-2</v>
      </c>
    </row>
    <row r="30" spans="1:16" ht="15" customHeight="1" thickBot="1" x14ac:dyDescent="0.25">
      <c r="A30" s="46"/>
      <c r="B30" s="47" t="s">
        <v>76</v>
      </c>
      <c r="C30" s="48">
        <f t="shared" ref="C30:P30" si="1">SUM(C20:C29)</f>
        <v>6.3492063492063489E-2</v>
      </c>
      <c r="D30" s="27">
        <f t="shared" si="1"/>
        <v>0.27809523809523806</v>
      </c>
      <c r="E30" s="48">
        <f t="shared" si="1"/>
        <v>5.3333333333333337E-2</v>
      </c>
      <c r="F30" s="27">
        <f t="shared" si="1"/>
        <v>0.23360000000000003</v>
      </c>
      <c r="G30" s="86">
        <f t="shared" si="1"/>
        <v>6.8027210884353737E-4</v>
      </c>
      <c r="H30" s="87">
        <f t="shared" si="1"/>
        <v>2.9795918367346934E-3</v>
      </c>
      <c r="I30" s="87">
        <f t="shared" si="1"/>
        <v>6.9841269841269841E-3</v>
      </c>
      <c r="J30" s="48">
        <f t="shared" si="1"/>
        <v>3.0590476190476192E-2</v>
      </c>
      <c r="K30" s="27">
        <f t="shared" si="1"/>
        <v>3.2203963224009806</v>
      </c>
      <c r="L30" s="27">
        <f t="shared" si="1"/>
        <v>0.50405996770123351</v>
      </c>
      <c r="M30" s="27">
        <f t="shared" si="1"/>
        <v>1.262896994694418</v>
      </c>
      <c r="N30" s="27">
        <f t="shared" si="1"/>
        <v>0.20615647853208224</v>
      </c>
      <c r="O30" s="27">
        <f t="shared" si="1"/>
        <v>0.18667995591629785</v>
      </c>
      <c r="P30" s="122">
        <f t="shared" si="1"/>
        <v>4.7779464886642267E-2</v>
      </c>
    </row>
    <row r="31" spans="1:16" ht="13.5" thickTop="1" x14ac:dyDescent="0.2">
      <c r="C31" s="12"/>
      <c r="E31" s="12"/>
      <c r="H31" s="30"/>
      <c r="J31" s="30"/>
      <c r="L31" s="11"/>
      <c r="N31" s="11"/>
      <c r="P31" s="11"/>
    </row>
    <row r="32" spans="1:16" x14ac:dyDescent="0.2">
      <c r="L32" s="11"/>
      <c r="N32" s="11"/>
      <c r="P32" s="44"/>
    </row>
    <row r="33" spans="3:16" x14ac:dyDescent="0.2">
      <c r="L33" s="11"/>
      <c r="N33" s="11"/>
      <c r="O33" s="44"/>
      <c r="P33" s="44"/>
    </row>
    <row r="34" spans="3:16" x14ac:dyDescent="0.2">
      <c r="K34" s="44"/>
      <c r="L34" s="44"/>
      <c r="M34" s="44"/>
      <c r="N34" s="44"/>
      <c r="O34" s="45"/>
      <c r="P34" s="45"/>
    </row>
    <row r="35" spans="3:16" x14ac:dyDescent="0.2">
      <c r="C35" s="19"/>
      <c r="D35" s="19"/>
      <c r="E35" s="19"/>
      <c r="F35" s="19"/>
      <c r="G35" s="11"/>
      <c r="H35" s="11"/>
      <c r="I35" s="11"/>
      <c r="J35" s="11"/>
      <c r="L35" s="11"/>
      <c r="N35" s="11"/>
      <c r="O35" s="44"/>
      <c r="P35" s="44"/>
    </row>
    <row r="36" spans="3:16" x14ac:dyDescent="0.2">
      <c r="K36" s="44"/>
      <c r="L36" s="44"/>
      <c r="M36" s="44"/>
      <c r="N36" s="44"/>
      <c r="O36" s="45"/>
      <c r="P36" s="45"/>
    </row>
    <row r="39" spans="3:16" x14ac:dyDescent="0.2">
      <c r="J39" s="31"/>
      <c r="K39" s="31"/>
      <c r="L39" s="31"/>
      <c r="M39" s="31"/>
      <c r="O39" s="31"/>
    </row>
    <row r="40" spans="3:16" x14ac:dyDescent="0.2">
      <c r="J40" s="31"/>
      <c r="K40" s="31"/>
      <c r="L40" s="31"/>
      <c r="M40" s="31"/>
      <c r="O40" s="31"/>
    </row>
    <row r="41" spans="3:16" x14ac:dyDescent="0.2">
      <c r="J41" s="31"/>
      <c r="K41" s="31"/>
      <c r="L41" s="31"/>
      <c r="M41" s="31"/>
      <c r="O41" s="31"/>
    </row>
  </sheetData>
  <mergeCells count="20">
    <mergeCell ref="A18:A19"/>
    <mergeCell ref="B18:B19"/>
    <mergeCell ref="C18:D18"/>
    <mergeCell ref="E18:F18"/>
    <mergeCell ref="A17:P17"/>
    <mergeCell ref="G18:H18"/>
    <mergeCell ref="I18:J18"/>
    <mergeCell ref="K18:L18"/>
    <mergeCell ref="M18:N18"/>
    <mergeCell ref="O18:P18"/>
    <mergeCell ref="G2:H2"/>
    <mergeCell ref="I2:J2"/>
    <mergeCell ref="K2:L2"/>
    <mergeCell ref="M2:N2"/>
    <mergeCell ref="A1:P1"/>
    <mergeCell ref="A2:A3"/>
    <mergeCell ref="B2:B3"/>
    <mergeCell ref="C2:D2"/>
    <mergeCell ref="E2:F2"/>
    <mergeCell ref="O2:P2"/>
  </mergeCells>
  <printOptions horizontalCentered="1"/>
  <pageMargins left="0.7" right="0.7" top="0.81354166666666705" bottom="0.5" header="0.3" footer="0.3"/>
  <pageSetup scale="66" orientation="landscape" r:id="rId1"/>
  <headerFooter>
    <oddHeader>&amp;C&amp;"Times New Roman,Bold"&amp;12Roper Construction, Inc Alto Concrete Batch Plant Emissions Inventory
125 CuFt/Hr; 50,000 CuFt per Year
Emission Totals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168"/>
  <sheetViews>
    <sheetView topLeftCell="A10" zoomScale="85" zoomScaleNormal="85" workbookViewId="0">
      <selection activeCell="C168" sqref="C168:N168"/>
    </sheetView>
  </sheetViews>
  <sheetFormatPr defaultRowHeight="12.75" x14ac:dyDescent="0.2"/>
  <cols>
    <col min="2" max="2" width="11.83203125" customWidth="1"/>
    <col min="3" max="3" width="9.33203125" style="51"/>
    <col min="11" max="14" width="11" customWidth="1"/>
    <col min="18" max="18" width="11.83203125" customWidth="1"/>
    <col min="19" max="19" width="9.33203125" style="120"/>
    <col min="27" max="30" width="11" customWidth="1"/>
  </cols>
  <sheetData>
    <row r="1" spans="1:30" x14ac:dyDescent="0.2">
      <c r="B1">
        <v>1</v>
      </c>
      <c r="R1">
        <v>1</v>
      </c>
    </row>
    <row r="2" spans="1:30" x14ac:dyDescent="0.2">
      <c r="C2" s="64" t="s">
        <v>120</v>
      </c>
      <c r="D2" s="10" t="s">
        <v>121</v>
      </c>
      <c r="E2" s="10" t="s">
        <v>122</v>
      </c>
      <c r="F2" s="10" t="s">
        <v>123</v>
      </c>
      <c r="G2" s="10" t="s">
        <v>124</v>
      </c>
      <c r="H2" s="10" t="s">
        <v>125</v>
      </c>
      <c r="I2" s="10" t="s">
        <v>126</v>
      </c>
      <c r="J2" s="10" t="s">
        <v>127</v>
      </c>
      <c r="K2" s="10" t="s">
        <v>128</v>
      </c>
      <c r="L2" s="10" t="s">
        <v>129</v>
      </c>
      <c r="M2" s="10" t="s">
        <v>130</v>
      </c>
      <c r="N2" s="10" t="s">
        <v>131</v>
      </c>
      <c r="S2" s="119" t="s">
        <v>120</v>
      </c>
      <c r="T2" s="10" t="s">
        <v>121</v>
      </c>
      <c r="U2" s="10" t="s">
        <v>122</v>
      </c>
      <c r="V2" s="10" t="s">
        <v>123</v>
      </c>
      <c r="W2" s="10" t="s">
        <v>124</v>
      </c>
      <c r="X2" s="10" t="s">
        <v>125</v>
      </c>
      <c r="Y2" s="10" t="s">
        <v>126</v>
      </c>
      <c r="Z2" s="10" t="s">
        <v>127</v>
      </c>
      <c r="AA2" s="10" t="s">
        <v>128</v>
      </c>
      <c r="AB2" s="10" t="s">
        <v>129</v>
      </c>
      <c r="AC2" s="10" t="s">
        <v>130</v>
      </c>
      <c r="AD2" s="10" t="s">
        <v>131</v>
      </c>
    </row>
    <row r="3" spans="1:30" x14ac:dyDescent="0.2">
      <c r="A3" s="51">
        <v>1</v>
      </c>
      <c r="B3" s="53">
        <v>0</v>
      </c>
      <c r="C3" s="78">
        <v>0</v>
      </c>
      <c r="D3" s="108">
        <v>0</v>
      </c>
      <c r="E3" s="78">
        <v>0</v>
      </c>
      <c r="F3" s="115">
        <v>0</v>
      </c>
      <c r="G3" s="115">
        <v>0</v>
      </c>
      <c r="H3" s="115">
        <v>0</v>
      </c>
      <c r="I3" s="115">
        <v>0</v>
      </c>
      <c r="J3" s="115">
        <v>0</v>
      </c>
      <c r="K3" s="115">
        <v>0</v>
      </c>
      <c r="L3" s="115">
        <v>0</v>
      </c>
      <c r="M3" s="108">
        <v>0</v>
      </c>
      <c r="N3" s="108">
        <v>0</v>
      </c>
      <c r="R3" s="53">
        <v>0</v>
      </c>
      <c r="S3" s="120">
        <v>0</v>
      </c>
      <c r="T3" s="120">
        <v>0</v>
      </c>
      <c r="U3" s="120">
        <v>0</v>
      </c>
      <c r="V3" s="120">
        <v>0</v>
      </c>
      <c r="W3" s="120">
        <v>0</v>
      </c>
      <c r="X3" s="120">
        <v>0</v>
      </c>
      <c r="Y3" s="120">
        <v>0</v>
      </c>
      <c r="Z3" s="120">
        <v>0</v>
      </c>
      <c r="AA3" s="120">
        <v>0</v>
      </c>
      <c r="AB3" s="120">
        <v>0</v>
      </c>
      <c r="AC3" s="120">
        <v>0</v>
      </c>
      <c r="AD3" s="120">
        <v>0</v>
      </c>
    </row>
    <row r="4" spans="1:30" x14ac:dyDescent="0.2">
      <c r="A4" s="51">
        <v>2</v>
      </c>
      <c r="B4" s="53">
        <v>4.1666666666666664E-2</v>
      </c>
      <c r="C4" s="78">
        <v>0</v>
      </c>
      <c r="D4" s="108">
        <v>0</v>
      </c>
      <c r="E4" s="78">
        <v>0</v>
      </c>
      <c r="F4" s="115">
        <v>0</v>
      </c>
      <c r="G4" s="115">
        <v>0</v>
      </c>
      <c r="H4" s="115">
        <v>0</v>
      </c>
      <c r="I4" s="115">
        <v>0</v>
      </c>
      <c r="J4" s="115">
        <v>0</v>
      </c>
      <c r="K4" s="115">
        <v>0</v>
      </c>
      <c r="L4" s="115">
        <v>0</v>
      </c>
      <c r="M4" s="108">
        <v>0</v>
      </c>
      <c r="N4" s="108">
        <v>0</v>
      </c>
      <c r="R4" s="53">
        <v>4.1666666666666664E-2</v>
      </c>
      <c r="S4" s="120">
        <v>0</v>
      </c>
      <c r="T4" s="120">
        <v>0</v>
      </c>
      <c r="U4" s="120">
        <v>0</v>
      </c>
      <c r="V4" s="120">
        <v>0</v>
      </c>
      <c r="W4" s="120">
        <v>0</v>
      </c>
      <c r="X4" s="120">
        <v>0</v>
      </c>
      <c r="Y4" s="120">
        <v>0</v>
      </c>
      <c r="Z4" s="120">
        <v>0</v>
      </c>
      <c r="AA4" s="120">
        <v>0</v>
      </c>
      <c r="AB4" s="120">
        <v>0</v>
      </c>
      <c r="AC4" s="120">
        <v>0</v>
      </c>
      <c r="AD4" s="120">
        <v>0</v>
      </c>
    </row>
    <row r="5" spans="1:30" x14ac:dyDescent="0.2">
      <c r="A5" s="51">
        <v>3</v>
      </c>
      <c r="B5" s="53">
        <v>8.3333333333333301E-2</v>
      </c>
      <c r="C5" s="78">
        <v>0</v>
      </c>
      <c r="D5" s="108">
        <v>0</v>
      </c>
      <c r="E5" s="78">
        <v>0</v>
      </c>
      <c r="F5" s="115">
        <v>0</v>
      </c>
      <c r="G5" s="115">
        <v>0</v>
      </c>
      <c r="H5" s="115">
        <v>0</v>
      </c>
      <c r="I5" s="115">
        <v>0</v>
      </c>
      <c r="J5" s="115">
        <v>0</v>
      </c>
      <c r="K5" s="115">
        <v>0</v>
      </c>
      <c r="L5" s="115">
        <v>0</v>
      </c>
      <c r="M5" s="108">
        <v>0</v>
      </c>
      <c r="N5" s="108">
        <v>0</v>
      </c>
      <c r="R5" s="53">
        <v>8.3333333333333301E-2</v>
      </c>
      <c r="S5" s="120">
        <v>0</v>
      </c>
      <c r="T5" s="120">
        <v>0</v>
      </c>
      <c r="U5" s="120">
        <v>0</v>
      </c>
      <c r="V5" s="120">
        <v>0</v>
      </c>
      <c r="W5" s="120">
        <v>0</v>
      </c>
      <c r="X5" s="120">
        <v>0</v>
      </c>
      <c r="Y5" s="120">
        <v>0</v>
      </c>
      <c r="Z5" s="120">
        <v>0</v>
      </c>
      <c r="AA5" s="120">
        <v>0</v>
      </c>
      <c r="AB5" s="120">
        <v>0</v>
      </c>
      <c r="AC5" s="120">
        <v>0</v>
      </c>
      <c r="AD5" s="120">
        <v>0</v>
      </c>
    </row>
    <row r="6" spans="1:30" x14ac:dyDescent="0.2">
      <c r="A6" s="51">
        <v>4</v>
      </c>
      <c r="B6" s="53">
        <v>0.125</v>
      </c>
      <c r="C6" s="109">
        <v>0</v>
      </c>
      <c r="D6" s="109">
        <v>0</v>
      </c>
      <c r="E6" s="109">
        <v>0</v>
      </c>
      <c r="F6" s="115">
        <v>0</v>
      </c>
      <c r="G6" s="115">
        <v>0</v>
      </c>
      <c r="H6" s="115">
        <v>0</v>
      </c>
      <c r="I6" s="115">
        <v>0</v>
      </c>
      <c r="J6" s="115">
        <v>0</v>
      </c>
      <c r="K6" s="115">
        <v>0</v>
      </c>
      <c r="L6" s="115">
        <v>0</v>
      </c>
      <c r="M6" s="109">
        <v>0</v>
      </c>
      <c r="N6" s="109">
        <v>0</v>
      </c>
      <c r="R6" s="53">
        <v>0.125</v>
      </c>
      <c r="S6" s="120">
        <v>0</v>
      </c>
      <c r="T6" s="120">
        <v>0</v>
      </c>
      <c r="U6" s="120">
        <v>0</v>
      </c>
      <c r="V6" s="120">
        <v>0</v>
      </c>
      <c r="W6" s="120">
        <v>0</v>
      </c>
      <c r="X6" s="120">
        <v>0</v>
      </c>
      <c r="Y6" s="120">
        <v>0</v>
      </c>
      <c r="Z6" s="120">
        <v>0</v>
      </c>
      <c r="AA6" s="120">
        <v>0</v>
      </c>
      <c r="AB6" s="120">
        <v>0</v>
      </c>
      <c r="AC6" s="120">
        <v>0</v>
      </c>
      <c r="AD6" s="120">
        <v>0</v>
      </c>
    </row>
    <row r="7" spans="1:30" x14ac:dyDescent="0.2">
      <c r="A7" s="51">
        <v>5</v>
      </c>
      <c r="B7" s="53">
        <v>0.16666666666666699</v>
      </c>
      <c r="C7" s="109">
        <v>0</v>
      </c>
      <c r="D7" s="109">
        <v>0</v>
      </c>
      <c r="E7" s="109">
        <v>0</v>
      </c>
      <c r="F7" s="115">
        <v>0</v>
      </c>
      <c r="G7" s="115">
        <v>0</v>
      </c>
      <c r="H7" s="115">
        <v>0</v>
      </c>
      <c r="I7" s="115">
        <v>0</v>
      </c>
      <c r="J7" s="115">
        <v>0</v>
      </c>
      <c r="K7" s="115">
        <v>0</v>
      </c>
      <c r="L7" s="115">
        <v>0</v>
      </c>
      <c r="M7" s="109">
        <v>0</v>
      </c>
      <c r="N7" s="109">
        <v>0</v>
      </c>
      <c r="R7" s="53">
        <v>0.16666666666666699</v>
      </c>
      <c r="S7" s="120">
        <v>0</v>
      </c>
      <c r="T7" s="120">
        <v>0</v>
      </c>
      <c r="U7" s="120">
        <v>0</v>
      </c>
      <c r="V7" s="120">
        <v>0</v>
      </c>
      <c r="W7" s="120">
        <v>0</v>
      </c>
      <c r="X7" s="120">
        <v>0</v>
      </c>
      <c r="Y7" s="120">
        <v>0</v>
      </c>
      <c r="Z7" s="120">
        <v>0</v>
      </c>
      <c r="AA7" s="120">
        <v>0</v>
      </c>
      <c r="AB7" s="120">
        <v>0</v>
      </c>
      <c r="AC7" s="120">
        <v>0</v>
      </c>
      <c r="AD7" s="120">
        <v>0</v>
      </c>
    </row>
    <row r="8" spans="1:30" x14ac:dyDescent="0.2">
      <c r="A8" s="51">
        <v>6</v>
      </c>
      <c r="B8" s="53">
        <v>0.20833333333333301</v>
      </c>
      <c r="C8" s="109">
        <v>0</v>
      </c>
      <c r="D8" s="109">
        <v>0</v>
      </c>
      <c r="E8" s="111">
        <v>0</v>
      </c>
      <c r="F8" s="115">
        <v>1</v>
      </c>
      <c r="G8" s="115">
        <v>1</v>
      </c>
      <c r="H8" s="115">
        <v>1</v>
      </c>
      <c r="I8" s="115">
        <v>1</v>
      </c>
      <c r="J8" s="115">
        <v>1</v>
      </c>
      <c r="K8" s="115">
        <v>1</v>
      </c>
      <c r="L8" s="115">
        <v>0</v>
      </c>
      <c r="M8" s="109">
        <v>0</v>
      </c>
      <c r="N8" s="109">
        <v>0</v>
      </c>
      <c r="R8" s="53">
        <v>0.20833333333333301</v>
      </c>
      <c r="S8" s="120">
        <v>0</v>
      </c>
      <c r="T8" s="120">
        <v>0</v>
      </c>
      <c r="U8" s="120">
        <v>0</v>
      </c>
      <c r="V8" s="11">
        <f t="shared" ref="S8:AD15" si="0">+F8*$P$30</f>
        <v>0.18264840182648401</v>
      </c>
      <c r="W8" s="11">
        <f t="shared" si="0"/>
        <v>0.18264840182648401</v>
      </c>
      <c r="X8" s="11">
        <f t="shared" si="0"/>
        <v>0.18264840182648401</v>
      </c>
      <c r="Y8" s="11">
        <f t="shared" si="0"/>
        <v>0.18264840182648401</v>
      </c>
      <c r="Z8" s="11">
        <f t="shared" si="0"/>
        <v>0.18264840182648401</v>
      </c>
      <c r="AA8" s="11">
        <f t="shared" si="0"/>
        <v>0.18264840182648401</v>
      </c>
      <c r="AB8" s="120">
        <v>0</v>
      </c>
      <c r="AC8" s="120">
        <v>0</v>
      </c>
      <c r="AD8" s="120">
        <v>0</v>
      </c>
    </row>
    <row r="9" spans="1:30" x14ac:dyDescent="0.2">
      <c r="A9" s="51">
        <v>7</v>
      </c>
      <c r="B9" s="53">
        <v>0.25</v>
      </c>
      <c r="C9" s="109">
        <v>0</v>
      </c>
      <c r="D9" s="109">
        <v>0</v>
      </c>
      <c r="E9" s="111">
        <v>1</v>
      </c>
      <c r="F9" s="115">
        <v>1</v>
      </c>
      <c r="G9" s="115">
        <v>1</v>
      </c>
      <c r="H9" s="115">
        <v>1</v>
      </c>
      <c r="I9" s="115">
        <v>1</v>
      </c>
      <c r="J9" s="115">
        <v>1</v>
      </c>
      <c r="K9" s="115">
        <v>1</v>
      </c>
      <c r="L9" s="115">
        <v>1</v>
      </c>
      <c r="M9" s="109">
        <v>0</v>
      </c>
      <c r="N9" s="109">
        <v>0</v>
      </c>
      <c r="R9" s="53">
        <v>0.25</v>
      </c>
      <c r="S9" s="120">
        <v>0</v>
      </c>
      <c r="T9" s="120">
        <v>0</v>
      </c>
      <c r="U9" s="11">
        <f>+E9*$P$30</f>
        <v>0.18264840182648401</v>
      </c>
      <c r="V9" s="11">
        <f t="shared" si="0"/>
        <v>0.18264840182648401</v>
      </c>
      <c r="W9" s="11">
        <f t="shared" si="0"/>
        <v>0.18264840182648401</v>
      </c>
      <c r="X9" s="11">
        <f t="shared" si="0"/>
        <v>0.18264840182648401</v>
      </c>
      <c r="Y9" s="11">
        <f t="shared" si="0"/>
        <v>0.18264840182648401</v>
      </c>
      <c r="Z9" s="11">
        <f t="shared" si="0"/>
        <v>0.18264840182648401</v>
      </c>
      <c r="AA9" s="11">
        <f t="shared" si="0"/>
        <v>0.18264840182648401</v>
      </c>
      <c r="AB9" s="11">
        <f>+L9*$P$30</f>
        <v>0.18264840182648401</v>
      </c>
      <c r="AC9" s="120">
        <v>0</v>
      </c>
      <c r="AD9" s="120">
        <v>0</v>
      </c>
    </row>
    <row r="10" spans="1:30" x14ac:dyDescent="0.2">
      <c r="A10" s="51">
        <v>8</v>
      </c>
      <c r="B10" s="53">
        <v>0.29166666666666702</v>
      </c>
      <c r="C10" s="109">
        <v>1</v>
      </c>
      <c r="D10" s="109">
        <v>1</v>
      </c>
      <c r="E10" s="111">
        <v>1</v>
      </c>
      <c r="F10" s="115">
        <v>1</v>
      </c>
      <c r="G10" s="115">
        <v>1</v>
      </c>
      <c r="H10" s="115">
        <v>1</v>
      </c>
      <c r="I10" s="115">
        <v>1</v>
      </c>
      <c r="J10" s="115">
        <v>1</v>
      </c>
      <c r="K10" s="115">
        <v>1</v>
      </c>
      <c r="L10" s="115">
        <v>1</v>
      </c>
      <c r="M10" s="111">
        <v>1</v>
      </c>
      <c r="N10" s="109">
        <v>1</v>
      </c>
      <c r="R10" s="53">
        <v>0.29166666666666702</v>
      </c>
      <c r="S10" s="11">
        <f>+C10*$P$30</f>
        <v>0.18264840182648401</v>
      </c>
      <c r="T10" s="11">
        <f>+D10*$P$30</f>
        <v>0.18264840182648401</v>
      </c>
      <c r="U10" s="11">
        <f t="shared" si="0"/>
        <v>0.18264840182648401</v>
      </c>
      <c r="V10" s="11">
        <f t="shared" si="0"/>
        <v>0.18264840182648401</v>
      </c>
      <c r="W10" s="11">
        <f t="shared" si="0"/>
        <v>0.18264840182648401</v>
      </c>
      <c r="X10" s="11">
        <f t="shared" si="0"/>
        <v>0.18264840182648401</v>
      </c>
      <c r="Y10" s="11">
        <f t="shared" si="0"/>
        <v>0.18264840182648401</v>
      </c>
      <c r="Z10" s="11">
        <f t="shared" si="0"/>
        <v>0.18264840182648401</v>
      </c>
      <c r="AA10" s="11">
        <f t="shared" si="0"/>
        <v>0.18264840182648401</v>
      </c>
      <c r="AB10" s="11">
        <f t="shared" si="0"/>
        <v>0.18264840182648401</v>
      </c>
      <c r="AC10" s="11">
        <f>+M10*$P$30</f>
        <v>0.18264840182648401</v>
      </c>
      <c r="AD10" s="11">
        <f>+N10*$P$30</f>
        <v>0.18264840182648401</v>
      </c>
    </row>
    <row r="11" spans="1:30" x14ac:dyDescent="0.2">
      <c r="A11" s="51">
        <v>9</v>
      </c>
      <c r="B11" s="53">
        <v>0.33333333333333298</v>
      </c>
      <c r="C11" s="109">
        <v>1</v>
      </c>
      <c r="D11" s="109">
        <v>1</v>
      </c>
      <c r="E11" s="111">
        <v>1</v>
      </c>
      <c r="F11" s="115">
        <v>1</v>
      </c>
      <c r="G11" s="115">
        <v>1</v>
      </c>
      <c r="H11" s="115">
        <v>1</v>
      </c>
      <c r="I11" s="115">
        <v>1</v>
      </c>
      <c r="J11" s="115">
        <v>1</v>
      </c>
      <c r="K11" s="115">
        <v>1</v>
      </c>
      <c r="L11" s="115">
        <v>1</v>
      </c>
      <c r="M11" s="111">
        <v>1</v>
      </c>
      <c r="N11" s="109">
        <v>1</v>
      </c>
      <c r="R11" s="53">
        <v>0.33333333333333298</v>
      </c>
      <c r="S11" s="11">
        <f t="shared" si="0"/>
        <v>0.18264840182648401</v>
      </c>
      <c r="T11" s="11">
        <f t="shared" si="0"/>
        <v>0.18264840182648401</v>
      </c>
      <c r="U11" s="11">
        <f t="shared" si="0"/>
        <v>0.18264840182648401</v>
      </c>
      <c r="V11" s="11">
        <f t="shared" si="0"/>
        <v>0.18264840182648401</v>
      </c>
      <c r="W11" s="11">
        <f t="shared" si="0"/>
        <v>0.18264840182648401</v>
      </c>
      <c r="X11" s="11">
        <f t="shared" si="0"/>
        <v>0.18264840182648401</v>
      </c>
      <c r="Y11" s="11">
        <f t="shared" si="0"/>
        <v>0.18264840182648401</v>
      </c>
      <c r="Z11" s="11">
        <f t="shared" si="0"/>
        <v>0.18264840182648401</v>
      </c>
      <c r="AA11" s="11">
        <f t="shared" si="0"/>
        <v>0.18264840182648401</v>
      </c>
      <c r="AB11" s="11">
        <f t="shared" si="0"/>
        <v>0.18264840182648401</v>
      </c>
      <c r="AC11" s="11">
        <f t="shared" si="0"/>
        <v>0.18264840182648401</v>
      </c>
      <c r="AD11" s="11">
        <f t="shared" si="0"/>
        <v>0.18264840182648401</v>
      </c>
    </row>
    <row r="12" spans="1:30" x14ac:dyDescent="0.2">
      <c r="A12" s="51">
        <v>10</v>
      </c>
      <c r="B12" s="53">
        <v>0.375</v>
      </c>
      <c r="C12" s="109">
        <v>1</v>
      </c>
      <c r="D12" s="109">
        <v>1</v>
      </c>
      <c r="E12" s="111">
        <v>1</v>
      </c>
      <c r="F12" s="115">
        <v>1</v>
      </c>
      <c r="G12" s="115">
        <v>1</v>
      </c>
      <c r="H12" s="115">
        <v>1</v>
      </c>
      <c r="I12" s="115">
        <v>1</v>
      </c>
      <c r="J12" s="115">
        <v>1</v>
      </c>
      <c r="K12" s="115">
        <v>1</v>
      </c>
      <c r="L12" s="115">
        <v>1</v>
      </c>
      <c r="M12" s="111">
        <v>1</v>
      </c>
      <c r="N12" s="109">
        <v>1</v>
      </c>
      <c r="R12" s="53">
        <v>0.375</v>
      </c>
      <c r="S12" s="11">
        <f t="shared" si="0"/>
        <v>0.18264840182648401</v>
      </c>
      <c r="T12" s="11">
        <f t="shared" si="0"/>
        <v>0.18264840182648401</v>
      </c>
      <c r="U12" s="11">
        <f t="shared" si="0"/>
        <v>0.18264840182648401</v>
      </c>
      <c r="V12" s="11">
        <f t="shared" si="0"/>
        <v>0.18264840182648401</v>
      </c>
      <c r="W12" s="11">
        <f t="shared" si="0"/>
        <v>0.18264840182648401</v>
      </c>
      <c r="X12" s="11">
        <f t="shared" si="0"/>
        <v>0.18264840182648401</v>
      </c>
      <c r="Y12" s="11">
        <f t="shared" si="0"/>
        <v>0.18264840182648401</v>
      </c>
      <c r="Z12" s="11">
        <f t="shared" si="0"/>
        <v>0.18264840182648401</v>
      </c>
      <c r="AA12" s="11">
        <f t="shared" si="0"/>
        <v>0.18264840182648401</v>
      </c>
      <c r="AB12" s="11">
        <f t="shared" si="0"/>
        <v>0.18264840182648401</v>
      </c>
      <c r="AC12" s="11">
        <f t="shared" si="0"/>
        <v>0.18264840182648401</v>
      </c>
      <c r="AD12" s="11">
        <f t="shared" si="0"/>
        <v>0.18264840182648401</v>
      </c>
    </row>
    <row r="13" spans="1:30" x14ac:dyDescent="0.2">
      <c r="A13" s="51">
        <v>11</v>
      </c>
      <c r="B13" s="53">
        <v>0.41666666666666702</v>
      </c>
      <c r="C13" s="109">
        <v>1</v>
      </c>
      <c r="D13" s="109">
        <v>1</v>
      </c>
      <c r="E13" s="111">
        <v>1</v>
      </c>
      <c r="F13" s="115">
        <v>1</v>
      </c>
      <c r="G13" s="115">
        <v>1</v>
      </c>
      <c r="H13" s="115">
        <v>1</v>
      </c>
      <c r="I13" s="115">
        <v>1</v>
      </c>
      <c r="J13" s="115">
        <v>1</v>
      </c>
      <c r="K13" s="115">
        <v>1</v>
      </c>
      <c r="L13" s="115">
        <v>1</v>
      </c>
      <c r="M13" s="111">
        <v>1</v>
      </c>
      <c r="N13" s="109">
        <v>1</v>
      </c>
      <c r="R13" s="53">
        <v>0.41666666666666702</v>
      </c>
      <c r="S13" s="11">
        <f t="shared" si="0"/>
        <v>0.18264840182648401</v>
      </c>
      <c r="T13" s="11">
        <f t="shared" si="0"/>
        <v>0.18264840182648401</v>
      </c>
      <c r="U13" s="11">
        <f t="shared" si="0"/>
        <v>0.18264840182648401</v>
      </c>
      <c r="V13" s="11">
        <f t="shared" si="0"/>
        <v>0.18264840182648401</v>
      </c>
      <c r="W13" s="11">
        <f t="shared" si="0"/>
        <v>0.18264840182648401</v>
      </c>
      <c r="X13" s="11">
        <f t="shared" si="0"/>
        <v>0.18264840182648401</v>
      </c>
      <c r="Y13" s="11">
        <f t="shared" si="0"/>
        <v>0.18264840182648401</v>
      </c>
      <c r="Z13" s="11">
        <f t="shared" si="0"/>
        <v>0.18264840182648401</v>
      </c>
      <c r="AA13" s="11">
        <f t="shared" si="0"/>
        <v>0.18264840182648401</v>
      </c>
      <c r="AB13" s="11">
        <f t="shared" si="0"/>
        <v>0.18264840182648401</v>
      </c>
      <c r="AC13" s="11">
        <f t="shared" si="0"/>
        <v>0.18264840182648401</v>
      </c>
      <c r="AD13" s="11">
        <f t="shared" si="0"/>
        <v>0.18264840182648401</v>
      </c>
    </row>
    <row r="14" spans="1:30" x14ac:dyDescent="0.2">
      <c r="A14" s="51">
        <v>12</v>
      </c>
      <c r="B14" s="53">
        <v>0.45833333333333298</v>
      </c>
      <c r="C14" s="109">
        <v>1</v>
      </c>
      <c r="D14" s="109">
        <v>1</v>
      </c>
      <c r="E14" s="111">
        <v>1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5">
        <v>0</v>
      </c>
      <c r="L14" s="115">
        <v>1</v>
      </c>
      <c r="M14" s="111">
        <v>1</v>
      </c>
      <c r="N14" s="109">
        <v>1</v>
      </c>
      <c r="R14" s="53">
        <v>0.45833333333333298</v>
      </c>
      <c r="S14" s="11">
        <f t="shared" si="0"/>
        <v>0.18264840182648401</v>
      </c>
      <c r="T14" s="11">
        <f t="shared" si="0"/>
        <v>0.18264840182648401</v>
      </c>
      <c r="U14" s="11">
        <f t="shared" si="0"/>
        <v>0.18264840182648401</v>
      </c>
      <c r="V14" s="120">
        <v>0</v>
      </c>
      <c r="W14" s="120">
        <v>0</v>
      </c>
      <c r="X14" s="120">
        <v>0</v>
      </c>
      <c r="Y14" s="120">
        <v>0</v>
      </c>
      <c r="Z14" s="120">
        <v>0</v>
      </c>
      <c r="AA14" s="120">
        <v>0</v>
      </c>
      <c r="AB14" s="11">
        <f t="shared" si="0"/>
        <v>0.18264840182648401</v>
      </c>
      <c r="AC14" s="11">
        <f t="shared" si="0"/>
        <v>0.18264840182648401</v>
      </c>
      <c r="AD14" s="11">
        <f t="shared" si="0"/>
        <v>0.18264840182648401</v>
      </c>
    </row>
    <row r="15" spans="1:30" x14ac:dyDescent="0.2">
      <c r="A15" s="51">
        <v>13</v>
      </c>
      <c r="B15" s="53">
        <v>0.5</v>
      </c>
      <c r="C15" s="109">
        <v>1</v>
      </c>
      <c r="D15" s="109">
        <v>1</v>
      </c>
      <c r="E15" s="111">
        <v>0</v>
      </c>
      <c r="F15" s="115">
        <v>0</v>
      </c>
      <c r="G15" s="115">
        <v>0</v>
      </c>
      <c r="H15" s="115">
        <v>0</v>
      </c>
      <c r="I15" s="115">
        <v>0</v>
      </c>
      <c r="J15" s="115">
        <v>0</v>
      </c>
      <c r="K15" s="115">
        <v>0</v>
      </c>
      <c r="L15" s="115">
        <v>0</v>
      </c>
      <c r="M15" s="111">
        <v>1</v>
      </c>
      <c r="N15" s="109">
        <v>1</v>
      </c>
      <c r="R15" s="53">
        <v>0.5</v>
      </c>
      <c r="S15" s="11">
        <f t="shared" si="0"/>
        <v>0.18264840182648401</v>
      </c>
      <c r="T15" s="11">
        <f t="shared" si="0"/>
        <v>0.18264840182648401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1">
        <f t="shared" si="0"/>
        <v>0.18264840182648401</v>
      </c>
      <c r="AD15" s="11">
        <f t="shared" si="0"/>
        <v>0.18264840182648401</v>
      </c>
    </row>
    <row r="16" spans="1:30" x14ac:dyDescent="0.2">
      <c r="A16" s="51">
        <v>14</v>
      </c>
      <c r="B16" s="53">
        <v>0.54166666666666696</v>
      </c>
      <c r="C16" s="109">
        <v>0</v>
      </c>
      <c r="D16" s="109">
        <v>0</v>
      </c>
      <c r="E16" s="111">
        <v>0</v>
      </c>
      <c r="F16" s="115">
        <v>0</v>
      </c>
      <c r="G16" s="115">
        <v>0</v>
      </c>
      <c r="H16" s="115">
        <v>0</v>
      </c>
      <c r="I16" s="115">
        <v>0</v>
      </c>
      <c r="J16" s="115">
        <v>0</v>
      </c>
      <c r="K16" s="115">
        <v>0</v>
      </c>
      <c r="L16" s="115">
        <v>0</v>
      </c>
      <c r="M16" s="111">
        <v>0</v>
      </c>
      <c r="N16" s="109">
        <v>0</v>
      </c>
      <c r="R16" s="53">
        <v>0.54166666666666696</v>
      </c>
      <c r="S16" s="120">
        <v>0</v>
      </c>
      <c r="T16" s="120">
        <v>0</v>
      </c>
      <c r="U16" s="120">
        <v>0</v>
      </c>
      <c r="V16" s="120">
        <v>0</v>
      </c>
      <c r="W16" s="120">
        <v>0</v>
      </c>
      <c r="X16" s="120">
        <v>0</v>
      </c>
      <c r="Y16" s="120">
        <v>0</v>
      </c>
      <c r="Z16" s="120">
        <v>0</v>
      </c>
      <c r="AA16" s="120">
        <v>0</v>
      </c>
      <c r="AB16" s="120">
        <v>0</v>
      </c>
      <c r="AC16" s="120">
        <v>0</v>
      </c>
      <c r="AD16" s="120">
        <v>0</v>
      </c>
    </row>
    <row r="17" spans="1:32" x14ac:dyDescent="0.2">
      <c r="A17" s="51">
        <v>15</v>
      </c>
      <c r="B17" s="53">
        <v>0.58333333333333304</v>
      </c>
      <c r="C17" s="109">
        <v>0</v>
      </c>
      <c r="D17" s="109">
        <v>0</v>
      </c>
      <c r="E17" s="111">
        <v>0</v>
      </c>
      <c r="F17" s="115">
        <v>0</v>
      </c>
      <c r="G17" s="115">
        <v>0</v>
      </c>
      <c r="H17" s="115">
        <v>0</v>
      </c>
      <c r="I17" s="115">
        <v>0</v>
      </c>
      <c r="J17" s="115">
        <v>0</v>
      </c>
      <c r="K17" s="115">
        <v>0</v>
      </c>
      <c r="L17" s="115">
        <v>0</v>
      </c>
      <c r="M17" s="111">
        <v>0</v>
      </c>
      <c r="N17" s="109">
        <v>0</v>
      </c>
      <c r="R17" s="53">
        <v>0.58333333333333304</v>
      </c>
      <c r="S17" s="120">
        <v>0</v>
      </c>
      <c r="T17" s="120">
        <v>0</v>
      </c>
      <c r="U17" s="120">
        <v>0</v>
      </c>
      <c r="V17" s="120">
        <v>0</v>
      </c>
      <c r="W17" s="120">
        <v>0</v>
      </c>
      <c r="X17" s="120">
        <v>0</v>
      </c>
      <c r="Y17" s="120">
        <v>0</v>
      </c>
      <c r="Z17" s="120">
        <v>0</v>
      </c>
      <c r="AA17" s="120">
        <v>0</v>
      </c>
      <c r="AB17" s="120">
        <v>0</v>
      </c>
      <c r="AC17" s="120">
        <v>0</v>
      </c>
      <c r="AD17" s="120">
        <v>0</v>
      </c>
    </row>
    <row r="18" spans="1:32" x14ac:dyDescent="0.2">
      <c r="A18" s="51">
        <v>16</v>
      </c>
      <c r="B18" s="53">
        <v>0.625</v>
      </c>
      <c r="C18" s="109">
        <v>0</v>
      </c>
      <c r="D18" s="109">
        <v>0</v>
      </c>
      <c r="E18" s="111">
        <v>0</v>
      </c>
      <c r="F18" s="115">
        <v>0</v>
      </c>
      <c r="G18" s="115">
        <v>0</v>
      </c>
      <c r="H18" s="115">
        <v>0</v>
      </c>
      <c r="I18" s="115">
        <v>0</v>
      </c>
      <c r="J18" s="115">
        <v>0</v>
      </c>
      <c r="K18" s="115">
        <v>0</v>
      </c>
      <c r="L18" s="115">
        <v>0</v>
      </c>
      <c r="M18" s="111">
        <v>0</v>
      </c>
      <c r="N18" s="109">
        <v>0</v>
      </c>
      <c r="R18" s="53">
        <v>0.625</v>
      </c>
      <c r="S18" s="120">
        <v>0</v>
      </c>
      <c r="T18" s="120">
        <v>0</v>
      </c>
      <c r="U18" s="120">
        <v>0</v>
      </c>
      <c r="V18" s="120">
        <v>0</v>
      </c>
      <c r="W18" s="120">
        <v>0</v>
      </c>
      <c r="X18" s="120">
        <v>0</v>
      </c>
      <c r="Y18" s="120">
        <v>0</v>
      </c>
      <c r="Z18" s="120">
        <v>0</v>
      </c>
      <c r="AA18" s="120">
        <v>0</v>
      </c>
      <c r="AB18" s="120">
        <v>0</v>
      </c>
      <c r="AC18" s="120">
        <v>0</v>
      </c>
      <c r="AD18" s="120">
        <v>0</v>
      </c>
    </row>
    <row r="19" spans="1:32" x14ac:dyDescent="0.2">
      <c r="A19" s="51">
        <v>17</v>
      </c>
      <c r="B19" s="53">
        <v>0.66666666666666696</v>
      </c>
      <c r="C19" s="109">
        <v>0</v>
      </c>
      <c r="D19" s="109">
        <v>0</v>
      </c>
      <c r="E19" s="111">
        <v>0</v>
      </c>
      <c r="F19" s="115">
        <v>0</v>
      </c>
      <c r="G19" s="115">
        <v>0</v>
      </c>
      <c r="H19" s="115">
        <v>0</v>
      </c>
      <c r="I19" s="115">
        <v>0</v>
      </c>
      <c r="J19" s="115">
        <v>0</v>
      </c>
      <c r="K19" s="115">
        <v>0</v>
      </c>
      <c r="L19" s="115">
        <v>0</v>
      </c>
      <c r="M19" s="111">
        <v>0</v>
      </c>
      <c r="N19" s="109">
        <v>0</v>
      </c>
      <c r="R19" s="53">
        <v>0.66666666666666696</v>
      </c>
      <c r="S19" s="120">
        <v>0</v>
      </c>
      <c r="T19" s="120">
        <v>0</v>
      </c>
      <c r="U19" s="120">
        <v>0</v>
      </c>
      <c r="V19" s="120">
        <v>0</v>
      </c>
      <c r="W19" s="120">
        <v>0</v>
      </c>
      <c r="X19" s="120">
        <v>0</v>
      </c>
      <c r="Y19" s="120">
        <v>0</v>
      </c>
      <c r="Z19" s="120">
        <v>0</v>
      </c>
      <c r="AA19" s="120">
        <v>0</v>
      </c>
      <c r="AB19" s="120">
        <v>0</v>
      </c>
      <c r="AC19" s="120">
        <v>0</v>
      </c>
      <c r="AD19" s="120">
        <v>0</v>
      </c>
    </row>
    <row r="20" spans="1:32" x14ac:dyDescent="0.2">
      <c r="A20" s="51">
        <v>18</v>
      </c>
      <c r="B20" s="53">
        <v>0.70833333333333304</v>
      </c>
      <c r="C20" s="109">
        <v>0</v>
      </c>
      <c r="D20" s="109">
        <v>0</v>
      </c>
      <c r="E20" s="111">
        <v>0</v>
      </c>
      <c r="F20" s="115">
        <v>0</v>
      </c>
      <c r="G20" s="115">
        <v>0</v>
      </c>
      <c r="H20" s="115">
        <v>0</v>
      </c>
      <c r="I20" s="115">
        <v>0</v>
      </c>
      <c r="J20" s="115">
        <v>0</v>
      </c>
      <c r="K20" s="115">
        <v>0</v>
      </c>
      <c r="L20" s="115">
        <v>0</v>
      </c>
      <c r="M20" s="111">
        <v>0</v>
      </c>
      <c r="N20" s="109">
        <v>0</v>
      </c>
      <c r="R20" s="53">
        <v>0.70833333333333304</v>
      </c>
      <c r="S20" s="120">
        <v>0</v>
      </c>
      <c r="T20" s="120">
        <v>0</v>
      </c>
      <c r="U20" s="120">
        <v>0</v>
      </c>
      <c r="V20" s="120">
        <v>0</v>
      </c>
      <c r="W20" s="120">
        <v>0</v>
      </c>
      <c r="X20" s="120">
        <v>0</v>
      </c>
      <c r="Y20" s="120">
        <v>0</v>
      </c>
      <c r="Z20" s="120">
        <v>0</v>
      </c>
      <c r="AA20" s="120">
        <v>0</v>
      </c>
      <c r="AB20" s="120">
        <v>0</v>
      </c>
      <c r="AC20" s="120">
        <v>0</v>
      </c>
      <c r="AD20" s="120">
        <v>0</v>
      </c>
    </row>
    <row r="21" spans="1:32" x14ac:dyDescent="0.2">
      <c r="A21" s="51">
        <v>19</v>
      </c>
      <c r="B21" s="53">
        <v>0.75</v>
      </c>
      <c r="C21" s="75">
        <v>0</v>
      </c>
      <c r="D21" s="108">
        <v>0</v>
      </c>
      <c r="E21" s="111">
        <v>0</v>
      </c>
      <c r="F21" s="115">
        <v>0</v>
      </c>
      <c r="G21" s="115">
        <v>0</v>
      </c>
      <c r="H21" s="115">
        <v>0</v>
      </c>
      <c r="I21" s="115">
        <v>0</v>
      </c>
      <c r="J21" s="115">
        <v>0</v>
      </c>
      <c r="K21" s="115">
        <v>0</v>
      </c>
      <c r="L21" s="115">
        <v>0</v>
      </c>
      <c r="M21" s="111">
        <v>0</v>
      </c>
      <c r="N21" s="108">
        <v>0</v>
      </c>
      <c r="R21" s="53">
        <v>0.75</v>
      </c>
      <c r="S21" s="120">
        <v>0</v>
      </c>
      <c r="T21" s="120">
        <v>0</v>
      </c>
      <c r="U21" s="120">
        <v>0</v>
      </c>
      <c r="V21" s="120">
        <v>0</v>
      </c>
      <c r="W21" s="120">
        <v>0</v>
      </c>
      <c r="X21" s="120">
        <v>0</v>
      </c>
      <c r="Y21" s="120">
        <v>0</v>
      </c>
      <c r="Z21" s="120">
        <v>0</v>
      </c>
      <c r="AA21" s="120">
        <v>0</v>
      </c>
      <c r="AB21" s="120">
        <v>0</v>
      </c>
      <c r="AC21" s="120">
        <v>0</v>
      </c>
      <c r="AD21" s="120">
        <v>0</v>
      </c>
    </row>
    <row r="22" spans="1:32" x14ac:dyDescent="0.2">
      <c r="A22" s="51">
        <v>20</v>
      </c>
      <c r="B22" s="53">
        <v>0.79166666666666696</v>
      </c>
      <c r="C22" s="75">
        <v>0</v>
      </c>
      <c r="D22" s="108">
        <v>0</v>
      </c>
      <c r="E22" s="111">
        <v>0</v>
      </c>
      <c r="F22" s="115">
        <v>0</v>
      </c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M22" s="111">
        <v>0</v>
      </c>
      <c r="N22" s="108">
        <v>0</v>
      </c>
      <c r="R22" s="53">
        <v>0.79166666666666696</v>
      </c>
      <c r="S22" s="120">
        <v>0</v>
      </c>
      <c r="T22" s="120">
        <v>0</v>
      </c>
      <c r="U22" s="120">
        <v>0</v>
      </c>
      <c r="V22" s="120">
        <v>0</v>
      </c>
      <c r="W22" s="120">
        <v>0</v>
      </c>
      <c r="X22" s="120">
        <v>0</v>
      </c>
      <c r="Y22" s="120">
        <v>0</v>
      </c>
      <c r="Z22" s="120">
        <v>0</v>
      </c>
      <c r="AA22" s="120">
        <v>0</v>
      </c>
      <c r="AB22" s="120">
        <v>0</v>
      </c>
      <c r="AC22" s="120">
        <v>0</v>
      </c>
      <c r="AD22" s="120">
        <v>0</v>
      </c>
    </row>
    <row r="23" spans="1:32" x14ac:dyDescent="0.2">
      <c r="A23" s="51">
        <v>21</v>
      </c>
      <c r="B23" s="53">
        <v>0.83333333333333304</v>
      </c>
      <c r="C23" s="75">
        <v>0</v>
      </c>
      <c r="D23" s="108">
        <v>0</v>
      </c>
      <c r="E23" s="111">
        <v>0</v>
      </c>
      <c r="F23" s="115">
        <v>0</v>
      </c>
      <c r="G23" s="115">
        <v>0</v>
      </c>
      <c r="H23" s="115">
        <v>0</v>
      </c>
      <c r="I23" s="115">
        <v>0</v>
      </c>
      <c r="J23" s="115">
        <v>0</v>
      </c>
      <c r="K23" s="115">
        <v>0</v>
      </c>
      <c r="L23" s="115">
        <v>0</v>
      </c>
      <c r="M23" s="111">
        <v>0</v>
      </c>
      <c r="N23" s="108">
        <v>0</v>
      </c>
      <c r="R23" s="53">
        <v>0.83333333333333304</v>
      </c>
      <c r="S23" s="120">
        <v>0</v>
      </c>
      <c r="T23" s="120">
        <v>0</v>
      </c>
      <c r="U23" s="120">
        <v>0</v>
      </c>
      <c r="V23" s="120">
        <v>0</v>
      </c>
      <c r="W23" s="120">
        <v>0</v>
      </c>
      <c r="X23" s="120">
        <v>0</v>
      </c>
      <c r="Y23" s="120">
        <v>0</v>
      </c>
      <c r="Z23" s="120">
        <v>0</v>
      </c>
      <c r="AA23" s="120">
        <v>0</v>
      </c>
      <c r="AB23" s="120">
        <v>0</v>
      </c>
      <c r="AC23" s="120">
        <v>0</v>
      </c>
      <c r="AD23" s="120">
        <v>0</v>
      </c>
    </row>
    <row r="24" spans="1:32" x14ac:dyDescent="0.2">
      <c r="A24" s="51">
        <v>22</v>
      </c>
      <c r="B24" s="53">
        <v>0.875</v>
      </c>
      <c r="C24" s="75">
        <v>0</v>
      </c>
      <c r="D24" s="108">
        <v>0</v>
      </c>
      <c r="E24" s="111">
        <v>0</v>
      </c>
      <c r="F24" s="115">
        <v>0</v>
      </c>
      <c r="G24" s="115">
        <v>0</v>
      </c>
      <c r="H24" s="115">
        <v>0</v>
      </c>
      <c r="I24" s="115">
        <v>0</v>
      </c>
      <c r="J24" s="115">
        <v>0</v>
      </c>
      <c r="K24" s="115">
        <v>0</v>
      </c>
      <c r="L24" s="115">
        <v>0</v>
      </c>
      <c r="M24" s="111">
        <v>0</v>
      </c>
      <c r="N24" s="108">
        <v>0</v>
      </c>
      <c r="R24" s="53">
        <v>0.875</v>
      </c>
      <c r="S24" s="120">
        <v>0</v>
      </c>
      <c r="T24" s="120">
        <v>0</v>
      </c>
      <c r="U24" s="120">
        <v>0</v>
      </c>
      <c r="V24" s="120">
        <v>0</v>
      </c>
      <c r="W24" s="120">
        <v>0</v>
      </c>
      <c r="X24" s="120">
        <v>0</v>
      </c>
      <c r="Y24" s="120">
        <v>0</v>
      </c>
      <c r="Z24" s="120">
        <v>0</v>
      </c>
      <c r="AA24" s="120">
        <v>0</v>
      </c>
      <c r="AB24" s="120">
        <v>0</v>
      </c>
      <c r="AC24" s="120">
        <v>0</v>
      </c>
      <c r="AD24" s="120">
        <v>0</v>
      </c>
    </row>
    <row r="25" spans="1:32" x14ac:dyDescent="0.2">
      <c r="A25" s="51">
        <v>23</v>
      </c>
      <c r="B25" s="53">
        <v>0.91666666666666696</v>
      </c>
      <c r="C25" s="75">
        <v>0</v>
      </c>
      <c r="D25" s="108">
        <v>0</v>
      </c>
      <c r="E25" s="77">
        <v>0</v>
      </c>
      <c r="F25" s="115">
        <v>0</v>
      </c>
      <c r="G25" s="115">
        <v>0</v>
      </c>
      <c r="H25" s="115">
        <v>0</v>
      </c>
      <c r="I25" s="115">
        <v>0</v>
      </c>
      <c r="J25" s="115">
        <v>0</v>
      </c>
      <c r="K25" s="115">
        <v>0</v>
      </c>
      <c r="L25" s="115">
        <v>0</v>
      </c>
      <c r="M25" s="111">
        <v>0</v>
      </c>
      <c r="N25" s="108">
        <v>0</v>
      </c>
      <c r="R25" s="53">
        <v>0.91666666666666696</v>
      </c>
      <c r="S25" s="120">
        <v>0</v>
      </c>
      <c r="T25" s="120">
        <v>0</v>
      </c>
      <c r="U25" s="120">
        <v>0</v>
      </c>
      <c r="V25" s="120">
        <v>0</v>
      </c>
      <c r="W25" s="120">
        <v>0</v>
      </c>
      <c r="X25" s="120">
        <v>0</v>
      </c>
      <c r="Y25" s="120">
        <v>0</v>
      </c>
      <c r="Z25" s="120">
        <v>0</v>
      </c>
      <c r="AA25" s="120">
        <v>0</v>
      </c>
      <c r="AB25" s="120">
        <v>0</v>
      </c>
      <c r="AC25" s="120">
        <v>0</v>
      </c>
      <c r="AD25" s="120">
        <v>0</v>
      </c>
    </row>
    <row r="26" spans="1:32" x14ac:dyDescent="0.2">
      <c r="A26" s="51">
        <v>24</v>
      </c>
      <c r="B26" s="53">
        <v>0.95833333333333304</v>
      </c>
      <c r="C26" s="75">
        <v>0</v>
      </c>
      <c r="D26" s="108">
        <v>0</v>
      </c>
      <c r="E26" s="77">
        <v>0</v>
      </c>
      <c r="F26" s="115">
        <v>0</v>
      </c>
      <c r="G26" s="115">
        <v>0</v>
      </c>
      <c r="H26" s="115">
        <v>0</v>
      </c>
      <c r="I26" s="115">
        <v>0</v>
      </c>
      <c r="J26" s="115">
        <v>0</v>
      </c>
      <c r="K26" s="115">
        <v>0</v>
      </c>
      <c r="L26" s="115">
        <v>0</v>
      </c>
      <c r="M26" s="111">
        <v>0</v>
      </c>
      <c r="N26" s="108">
        <v>0</v>
      </c>
      <c r="R26" s="53">
        <v>0.95833333333333304</v>
      </c>
      <c r="S26" s="120">
        <v>0</v>
      </c>
      <c r="T26" s="120">
        <v>0</v>
      </c>
      <c r="U26" s="120">
        <v>0</v>
      </c>
      <c r="V26" s="120">
        <v>0</v>
      </c>
      <c r="W26" s="120">
        <v>0</v>
      </c>
      <c r="X26" s="120">
        <v>0</v>
      </c>
      <c r="Y26" s="120">
        <v>0</v>
      </c>
      <c r="Z26" s="120">
        <v>0</v>
      </c>
      <c r="AA26" s="120">
        <v>0</v>
      </c>
      <c r="AB26" s="120">
        <v>0</v>
      </c>
      <c r="AC26" s="120">
        <v>0</v>
      </c>
      <c r="AD26" s="120">
        <v>0</v>
      </c>
    </row>
    <row r="27" spans="1:32" x14ac:dyDescent="0.2">
      <c r="C27" s="51">
        <f>SUM(C3:C26)</f>
        <v>6</v>
      </c>
      <c r="D27" s="61">
        <f t="shared" ref="D27:K27" si="1">SUM(D3:D26)</f>
        <v>6</v>
      </c>
      <c r="E27" s="61">
        <f t="shared" si="1"/>
        <v>6</v>
      </c>
      <c r="F27" s="61">
        <f t="shared" si="1"/>
        <v>6</v>
      </c>
      <c r="G27" s="108">
        <f t="shared" si="1"/>
        <v>6</v>
      </c>
      <c r="H27" s="108">
        <f t="shared" si="1"/>
        <v>6</v>
      </c>
      <c r="I27" s="108">
        <f t="shared" si="1"/>
        <v>6</v>
      </c>
      <c r="J27" s="108">
        <f t="shared" si="1"/>
        <v>6</v>
      </c>
      <c r="K27" s="108">
        <f t="shared" si="1"/>
        <v>6</v>
      </c>
      <c r="L27" s="61">
        <f t="shared" ref="L27" si="2">SUM(L3:L26)</f>
        <v>6</v>
      </c>
      <c r="M27" s="61">
        <f t="shared" ref="M27" si="3">SUM(M3:M26)</f>
        <v>6</v>
      </c>
      <c r="N27" s="61">
        <f t="shared" ref="N27" si="4">SUM(N3:N26)</f>
        <v>6</v>
      </c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</row>
    <row r="28" spans="1:32" x14ac:dyDescent="0.2">
      <c r="C28" s="51">
        <f>+C27*31</f>
        <v>186</v>
      </c>
      <c r="D28" s="61">
        <f>+D27*28</f>
        <v>168</v>
      </c>
      <c r="E28" s="61">
        <f>+E27*31</f>
        <v>186</v>
      </c>
      <c r="F28" s="61">
        <f>+F27*30</f>
        <v>180</v>
      </c>
      <c r="G28" s="63">
        <f t="shared" ref="G28" si="5">+G27*31</f>
        <v>186</v>
      </c>
      <c r="H28" s="63">
        <f>+H27*30</f>
        <v>180</v>
      </c>
      <c r="I28" s="63">
        <f t="shared" ref="I28" si="6">+I27*31</f>
        <v>186</v>
      </c>
      <c r="J28" s="63">
        <f>+J27*31</f>
        <v>186</v>
      </c>
      <c r="K28" s="63">
        <f>+K27*30</f>
        <v>180</v>
      </c>
      <c r="L28" s="63">
        <f>+L27*31</f>
        <v>186</v>
      </c>
      <c r="M28" s="63">
        <f>+M27*30</f>
        <v>180</v>
      </c>
      <c r="N28" s="63">
        <f>+N27*31</f>
        <v>186</v>
      </c>
      <c r="O28">
        <f>SUM(C28:N28)</f>
        <v>2190</v>
      </c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</row>
    <row r="29" spans="1:32" x14ac:dyDescent="0.2">
      <c r="C29" s="51">
        <f t="shared" ref="C29:N29" si="7">+C27*cuydhr</f>
        <v>750</v>
      </c>
      <c r="D29" s="65">
        <f t="shared" si="7"/>
        <v>750</v>
      </c>
      <c r="E29" s="65">
        <f t="shared" si="7"/>
        <v>750</v>
      </c>
      <c r="F29" s="65">
        <f t="shared" si="7"/>
        <v>750</v>
      </c>
      <c r="G29" s="65">
        <f t="shared" si="7"/>
        <v>750</v>
      </c>
      <c r="H29" s="65">
        <f t="shared" si="7"/>
        <v>750</v>
      </c>
      <c r="I29" s="65">
        <f t="shared" si="7"/>
        <v>750</v>
      </c>
      <c r="J29" s="65">
        <f t="shared" si="7"/>
        <v>750</v>
      </c>
      <c r="K29" s="65">
        <f t="shared" si="7"/>
        <v>750</v>
      </c>
      <c r="L29" s="65">
        <f t="shared" si="7"/>
        <v>750</v>
      </c>
      <c r="M29" s="65">
        <f t="shared" si="7"/>
        <v>750</v>
      </c>
      <c r="N29" s="65">
        <f t="shared" si="7"/>
        <v>750</v>
      </c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</row>
    <row r="30" spans="1:32" x14ac:dyDescent="0.2">
      <c r="C30" s="65">
        <f t="shared" ref="C30:N30" si="8">+C28*cuydhr</f>
        <v>23250</v>
      </c>
      <c r="D30" s="65">
        <f t="shared" si="8"/>
        <v>21000</v>
      </c>
      <c r="E30" s="65">
        <f t="shared" si="8"/>
        <v>23250</v>
      </c>
      <c r="F30" s="65">
        <f t="shared" si="8"/>
        <v>22500</v>
      </c>
      <c r="G30" s="65">
        <f t="shared" si="8"/>
        <v>23250</v>
      </c>
      <c r="H30" s="65">
        <f t="shared" si="8"/>
        <v>22500</v>
      </c>
      <c r="I30" s="65">
        <f t="shared" si="8"/>
        <v>23250</v>
      </c>
      <c r="J30" s="65">
        <f t="shared" si="8"/>
        <v>23250</v>
      </c>
      <c r="K30" s="65">
        <f t="shared" si="8"/>
        <v>22500</v>
      </c>
      <c r="L30" s="65">
        <f t="shared" si="8"/>
        <v>23250</v>
      </c>
      <c r="M30" s="65">
        <f t="shared" si="8"/>
        <v>22500</v>
      </c>
      <c r="N30" s="65">
        <f t="shared" si="8"/>
        <v>23250</v>
      </c>
      <c r="O30" s="65">
        <f>SUM(C30:N30)</f>
        <v>273750</v>
      </c>
      <c r="P30" s="65">
        <f>+cuydyr/Hours!O30</f>
        <v>0.18264840182648401</v>
      </c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</row>
    <row r="31" spans="1:32" x14ac:dyDescent="0.2">
      <c r="B31">
        <v>2</v>
      </c>
      <c r="R31">
        <v>2</v>
      </c>
    </row>
    <row r="33" spans="2:30" x14ac:dyDescent="0.2">
      <c r="B33" s="53">
        <v>0</v>
      </c>
      <c r="C33" s="75">
        <v>0</v>
      </c>
      <c r="D33" s="108">
        <v>0</v>
      </c>
      <c r="E33" s="63">
        <v>0</v>
      </c>
      <c r="F33" s="80">
        <v>0</v>
      </c>
      <c r="G33" s="78">
        <v>0</v>
      </c>
      <c r="H33" s="63">
        <v>0</v>
      </c>
      <c r="I33" s="63">
        <v>0</v>
      </c>
      <c r="J33" s="63">
        <v>0</v>
      </c>
      <c r="K33" s="80">
        <v>0</v>
      </c>
      <c r="L33" s="80">
        <v>0</v>
      </c>
      <c r="M33" s="108">
        <v>0</v>
      </c>
      <c r="N33" s="108">
        <v>0</v>
      </c>
      <c r="R33" s="53">
        <v>0</v>
      </c>
      <c r="S33" s="120">
        <v>0</v>
      </c>
      <c r="T33" s="120">
        <v>0</v>
      </c>
      <c r="U33" s="120">
        <v>0</v>
      </c>
      <c r="V33" s="120">
        <v>0</v>
      </c>
      <c r="W33" s="120">
        <v>0</v>
      </c>
      <c r="X33" s="120">
        <v>0</v>
      </c>
      <c r="Y33" s="120">
        <v>0</v>
      </c>
      <c r="Z33" s="120">
        <v>0</v>
      </c>
      <c r="AA33" s="120">
        <v>0</v>
      </c>
      <c r="AB33" s="120">
        <v>0</v>
      </c>
      <c r="AC33" s="120">
        <v>0</v>
      </c>
      <c r="AD33" s="120">
        <v>0</v>
      </c>
    </row>
    <row r="34" spans="2:30" x14ac:dyDescent="0.2">
      <c r="B34" s="53">
        <v>4.1666666666666664E-2</v>
      </c>
      <c r="C34" s="75">
        <v>0</v>
      </c>
      <c r="D34" s="108">
        <v>0</v>
      </c>
      <c r="E34" s="63">
        <v>0</v>
      </c>
      <c r="F34" s="80">
        <v>0</v>
      </c>
      <c r="G34" s="78">
        <v>0</v>
      </c>
      <c r="H34" s="63">
        <v>0</v>
      </c>
      <c r="I34" s="63">
        <v>0</v>
      </c>
      <c r="J34" s="63">
        <v>0</v>
      </c>
      <c r="K34" s="80">
        <v>0</v>
      </c>
      <c r="L34" s="80">
        <v>0</v>
      </c>
      <c r="M34" s="108">
        <v>0</v>
      </c>
      <c r="N34" s="108">
        <v>0</v>
      </c>
      <c r="R34" s="53">
        <v>4.1666666666666664E-2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0</v>
      </c>
    </row>
    <row r="35" spans="2:30" x14ac:dyDescent="0.2">
      <c r="B35" s="53">
        <v>8.3333333333333301E-2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5">
        <v>0</v>
      </c>
      <c r="K35" s="115">
        <v>0</v>
      </c>
      <c r="L35" s="115">
        <v>0</v>
      </c>
      <c r="M35" s="115">
        <v>0</v>
      </c>
      <c r="N35" s="115">
        <v>0</v>
      </c>
      <c r="R35" s="53">
        <v>8.3333333333333301E-2</v>
      </c>
      <c r="S35" s="120">
        <v>0</v>
      </c>
      <c r="T35" s="120">
        <v>0</v>
      </c>
      <c r="U35" s="120">
        <v>0</v>
      </c>
      <c r="V35" s="120">
        <v>0</v>
      </c>
      <c r="W35" s="120">
        <v>0</v>
      </c>
      <c r="X35" s="120">
        <v>0</v>
      </c>
      <c r="Y35" s="120">
        <v>0</v>
      </c>
      <c r="Z35" s="120">
        <v>0</v>
      </c>
      <c r="AA35" s="120">
        <v>0</v>
      </c>
      <c r="AB35" s="120">
        <v>0</v>
      </c>
      <c r="AC35" s="120">
        <v>0</v>
      </c>
      <c r="AD35" s="120">
        <v>0</v>
      </c>
    </row>
    <row r="36" spans="2:30" x14ac:dyDescent="0.2">
      <c r="B36" s="53">
        <v>0.125</v>
      </c>
      <c r="C36" s="115">
        <v>0</v>
      </c>
      <c r="D36" s="115">
        <v>0</v>
      </c>
      <c r="E36" s="115">
        <v>0</v>
      </c>
      <c r="F36" s="115">
        <v>0</v>
      </c>
      <c r="G36" s="115">
        <v>0</v>
      </c>
      <c r="H36" s="115">
        <v>0</v>
      </c>
      <c r="I36" s="115">
        <v>0</v>
      </c>
      <c r="J36" s="115">
        <v>0</v>
      </c>
      <c r="K36" s="115">
        <v>0</v>
      </c>
      <c r="L36" s="115">
        <v>0</v>
      </c>
      <c r="M36" s="115">
        <v>0</v>
      </c>
      <c r="N36" s="115">
        <v>0</v>
      </c>
      <c r="R36" s="53">
        <v>0.125</v>
      </c>
      <c r="S36" s="120">
        <v>0</v>
      </c>
      <c r="T36" s="120">
        <v>0</v>
      </c>
      <c r="U36" s="120">
        <v>0</v>
      </c>
      <c r="V36" s="120">
        <v>0</v>
      </c>
      <c r="W36" s="120">
        <v>0</v>
      </c>
      <c r="X36" s="120">
        <v>0</v>
      </c>
      <c r="Y36" s="120">
        <v>0</v>
      </c>
      <c r="Z36" s="120">
        <v>0</v>
      </c>
      <c r="AA36" s="120">
        <v>0</v>
      </c>
      <c r="AB36" s="120">
        <v>0</v>
      </c>
      <c r="AC36" s="120">
        <v>0</v>
      </c>
      <c r="AD36" s="120">
        <v>0</v>
      </c>
    </row>
    <row r="37" spans="2:30" x14ac:dyDescent="0.2">
      <c r="B37" s="53">
        <v>0.16666666666666699</v>
      </c>
      <c r="C37" s="115">
        <v>0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  <c r="I37" s="115">
        <v>0</v>
      </c>
      <c r="J37" s="115">
        <v>0</v>
      </c>
      <c r="K37" s="115">
        <v>0</v>
      </c>
      <c r="L37" s="115">
        <v>0</v>
      </c>
      <c r="M37" s="115">
        <v>0</v>
      </c>
      <c r="N37" s="115">
        <v>0</v>
      </c>
      <c r="R37" s="53">
        <v>0.16666666666666699</v>
      </c>
      <c r="S37" s="120">
        <v>0</v>
      </c>
      <c r="T37" s="120">
        <v>0</v>
      </c>
      <c r="U37" s="120">
        <v>0</v>
      </c>
      <c r="V37" s="120">
        <v>0</v>
      </c>
      <c r="W37" s="120">
        <v>0</v>
      </c>
      <c r="X37" s="120">
        <v>0</v>
      </c>
      <c r="Y37" s="120">
        <v>0</v>
      </c>
      <c r="Z37" s="120">
        <v>0</v>
      </c>
      <c r="AA37" s="120">
        <v>0</v>
      </c>
      <c r="AB37" s="120">
        <v>0</v>
      </c>
      <c r="AC37" s="120">
        <v>0</v>
      </c>
      <c r="AD37" s="120">
        <v>0</v>
      </c>
    </row>
    <row r="38" spans="2:30" x14ac:dyDescent="0.2">
      <c r="B38" s="53">
        <v>0.20833333333333301</v>
      </c>
      <c r="C38" s="115">
        <v>0</v>
      </c>
      <c r="D38" s="115">
        <v>0</v>
      </c>
      <c r="E38" s="115">
        <v>0</v>
      </c>
      <c r="F38" s="115">
        <v>0</v>
      </c>
      <c r="G38" s="115">
        <v>0</v>
      </c>
      <c r="H38" s="115">
        <v>0</v>
      </c>
      <c r="I38" s="115">
        <v>0</v>
      </c>
      <c r="J38" s="115">
        <v>0</v>
      </c>
      <c r="K38" s="115">
        <v>0</v>
      </c>
      <c r="L38" s="115">
        <v>0</v>
      </c>
      <c r="M38" s="115">
        <v>0</v>
      </c>
      <c r="N38" s="115">
        <v>0</v>
      </c>
      <c r="R38" s="53">
        <v>0.20833333333333301</v>
      </c>
      <c r="S38" s="120">
        <v>0</v>
      </c>
      <c r="T38" s="120">
        <v>0</v>
      </c>
      <c r="U38" s="120">
        <v>0</v>
      </c>
      <c r="V38" s="120">
        <v>0</v>
      </c>
      <c r="W38" s="120">
        <v>0</v>
      </c>
      <c r="X38" s="120">
        <v>0</v>
      </c>
      <c r="Y38" s="120">
        <v>0</v>
      </c>
      <c r="Z38" s="120">
        <v>0</v>
      </c>
      <c r="AA38" s="120">
        <v>0</v>
      </c>
      <c r="AB38" s="120">
        <v>0</v>
      </c>
      <c r="AC38" s="120">
        <v>0</v>
      </c>
      <c r="AD38" s="120">
        <v>0</v>
      </c>
    </row>
    <row r="39" spans="2:30" x14ac:dyDescent="0.2">
      <c r="B39" s="53">
        <v>0.25</v>
      </c>
      <c r="C39" s="115">
        <v>0</v>
      </c>
      <c r="D39" s="115">
        <v>0</v>
      </c>
      <c r="E39" s="115">
        <v>0</v>
      </c>
      <c r="F39" s="115">
        <v>0</v>
      </c>
      <c r="G39" s="115">
        <v>0</v>
      </c>
      <c r="H39" s="115">
        <v>0</v>
      </c>
      <c r="I39" s="115">
        <v>0</v>
      </c>
      <c r="J39" s="115">
        <v>0</v>
      </c>
      <c r="K39" s="115">
        <v>0</v>
      </c>
      <c r="L39" s="115">
        <v>0</v>
      </c>
      <c r="M39" s="115">
        <v>0</v>
      </c>
      <c r="N39" s="115">
        <v>0</v>
      </c>
      <c r="R39" s="53">
        <v>0.25</v>
      </c>
      <c r="S39" s="120">
        <v>0</v>
      </c>
      <c r="T39" s="120">
        <v>0</v>
      </c>
      <c r="U39" s="120">
        <v>0</v>
      </c>
      <c r="V39" s="120">
        <v>0</v>
      </c>
      <c r="W39" s="120">
        <v>0</v>
      </c>
      <c r="X39" s="120">
        <v>0</v>
      </c>
      <c r="Y39" s="120">
        <v>0</v>
      </c>
      <c r="Z39" s="120">
        <v>0</v>
      </c>
      <c r="AA39" s="120">
        <v>0</v>
      </c>
      <c r="AB39" s="120">
        <v>0</v>
      </c>
      <c r="AC39" s="120">
        <v>0</v>
      </c>
      <c r="AD39" s="120">
        <v>0</v>
      </c>
    </row>
    <row r="40" spans="2:30" x14ac:dyDescent="0.2">
      <c r="B40" s="53">
        <v>0.29166666666666702</v>
      </c>
      <c r="C40" s="115">
        <v>0</v>
      </c>
      <c r="D40" s="115">
        <v>0</v>
      </c>
      <c r="E40" s="115">
        <v>0</v>
      </c>
      <c r="F40" s="115">
        <v>1</v>
      </c>
      <c r="G40" s="115">
        <v>1</v>
      </c>
      <c r="H40" s="115">
        <v>1</v>
      </c>
      <c r="I40" s="115">
        <v>1</v>
      </c>
      <c r="J40" s="115">
        <v>1</v>
      </c>
      <c r="K40" s="115">
        <v>1</v>
      </c>
      <c r="L40" s="115">
        <v>0</v>
      </c>
      <c r="M40" s="115">
        <v>0</v>
      </c>
      <c r="N40" s="115">
        <v>0</v>
      </c>
      <c r="R40" s="53">
        <v>0.29166666666666702</v>
      </c>
      <c r="S40" s="120">
        <v>0</v>
      </c>
      <c r="T40" s="120">
        <v>0</v>
      </c>
      <c r="U40" s="120">
        <v>0</v>
      </c>
      <c r="V40" s="11">
        <f t="shared" ref="V40:AD47" si="9">+F40*$P$30</f>
        <v>0.18264840182648401</v>
      </c>
      <c r="W40" s="11">
        <f t="shared" si="9"/>
        <v>0.18264840182648401</v>
      </c>
      <c r="X40" s="11">
        <f t="shared" si="9"/>
        <v>0.18264840182648401</v>
      </c>
      <c r="Y40" s="11">
        <f t="shared" si="9"/>
        <v>0.18264840182648401</v>
      </c>
      <c r="Z40" s="11">
        <f t="shared" si="9"/>
        <v>0.18264840182648401</v>
      </c>
      <c r="AA40" s="11">
        <f t="shared" si="9"/>
        <v>0.18264840182648401</v>
      </c>
      <c r="AB40" s="120">
        <v>0</v>
      </c>
      <c r="AC40" s="120">
        <v>0</v>
      </c>
      <c r="AD40" s="120">
        <v>0</v>
      </c>
    </row>
    <row r="41" spans="2:30" x14ac:dyDescent="0.2">
      <c r="B41" s="53">
        <v>0.33333333333333298</v>
      </c>
      <c r="C41" s="115">
        <v>0</v>
      </c>
      <c r="D41" s="115">
        <v>0</v>
      </c>
      <c r="E41" s="115">
        <v>1</v>
      </c>
      <c r="F41" s="115">
        <v>1</v>
      </c>
      <c r="G41" s="115">
        <v>1</v>
      </c>
      <c r="H41" s="115">
        <v>1</v>
      </c>
      <c r="I41" s="115">
        <v>1</v>
      </c>
      <c r="J41" s="115">
        <v>1</v>
      </c>
      <c r="K41" s="115">
        <v>1</v>
      </c>
      <c r="L41" s="115">
        <v>1</v>
      </c>
      <c r="M41" s="115">
        <v>0</v>
      </c>
      <c r="N41" s="115">
        <v>0</v>
      </c>
      <c r="R41" s="53">
        <v>0.33333333333333298</v>
      </c>
      <c r="S41" s="120">
        <v>0</v>
      </c>
      <c r="T41" s="120">
        <v>0</v>
      </c>
      <c r="U41" s="11">
        <f>+E41*$P$30</f>
        <v>0.18264840182648401</v>
      </c>
      <c r="V41" s="11">
        <f t="shared" si="9"/>
        <v>0.18264840182648401</v>
      </c>
      <c r="W41" s="11">
        <f t="shared" si="9"/>
        <v>0.18264840182648401</v>
      </c>
      <c r="X41" s="11">
        <f t="shared" si="9"/>
        <v>0.18264840182648401</v>
      </c>
      <c r="Y41" s="11">
        <f t="shared" si="9"/>
        <v>0.18264840182648401</v>
      </c>
      <c r="Z41" s="11">
        <f t="shared" si="9"/>
        <v>0.18264840182648401</v>
      </c>
      <c r="AA41" s="11">
        <f t="shared" si="9"/>
        <v>0.18264840182648401</v>
      </c>
      <c r="AB41" s="11">
        <f>+L41*$P$30</f>
        <v>0.18264840182648401</v>
      </c>
      <c r="AC41" s="120">
        <v>0</v>
      </c>
      <c r="AD41" s="120">
        <v>0</v>
      </c>
    </row>
    <row r="42" spans="2:30" x14ac:dyDescent="0.2">
      <c r="B42" s="53">
        <v>0.375</v>
      </c>
      <c r="C42" s="115">
        <v>1</v>
      </c>
      <c r="D42" s="115">
        <v>1</v>
      </c>
      <c r="E42" s="115">
        <v>1</v>
      </c>
      <c r="F42" s="115">
        <v>1</v>
      </c>
      <c r="G42" s="115">
        <v>1</v>
      </c>
      <c r="H42" s="115">
        <v>1</v>
      </c>
      <c r="I42" s="115">
        <v>1</v>
      </c>
      <c r="J42" s="115">
        <v>1</v>
      </c>
      <c r="K42" s="115">
        <v>1</v>
      </c>
      <c r="L42" s="115">
        <v>1</v>
      </c>
      <c r="M42" s="115">
        <v>1</v>
      </c>
      <c r="N42" s="115">
        <v>1</v>
      </c>
      <c r="R42" s="53">
        <v>0.375</v>
      </c>
      <c r="S42" s="11">
        <f>+C42*$P$30</f>
        <v>0.18264840182648401</v>
      </c>
      <c r="T42" s="11">
        <f>+D42*$P$30</f>
        <v>0.18264840182648401</v>
      </c>
      <c r="U42" s="11">
        <f t="shared" ref="U42:U46" si="10">+E42*$P$30</f>
        <v>0.18264840182648401</v>
      </c>
      <c r="V42" s="11">
        <f t="shared" si="9"/>
        <v>0.18264840182648401</v>
      </c>
      <c r="W42" s="11">
        <f t="shared" si="9"/>
        <v>0.18264840182648401</v>
      </c>
      <c r="X42" s="11">
        <f t="shared" si="9"/>
        <v>0.18264840182648401</v>
      </c>
      <c r="Y42" s="11">
        <f t="shared" si="9"/>
        <v>0.18264840182648401</v>
      </c>
      <c r="Z42" s="11">
        <f t="shared" si="9"/>
        <v>0.18264840182648401</v>
      </c>
      <c r="AA42" s="11">
        <f t="shared" si="9"/>
        <v>0.18264840182648401</v>
      </c>
      <c r="AB42" s="11">
        <f t="shared" si="9"/>
        <v>0.18264840182648401</v>
      </c>
      <c r="AC42" s="11">
        <f>+M42*$P$30</f>
        <v>0.18264840182648401</v>
      </c>
      <c r="AD42" s="11">
        <f>+N42*$P$30</f>
        <v>0.18264840182648401</v>
      </c>
    </row>
    <row r="43" spans="2:30" x14ac:dyDescent="0.2">
      <c r="B43" s="53">
        <v>0.41666666666666702</v>
      </c>
      <c r="C43" s="115">
        <v>1</v>
      </c>
      <c r="D43" s="115">
        <v>1</v>
      </c>
      <c r="E43" s="115">
        <v>1</v>
      </c>
      <c r="F43" s="115">
        <v>1</v>
      </c>
      <c r="G43" s="115">
        <v>1</v>
      </c>
      <c r="H43" s="115">
        <v>1</v>
      </c>
      <c r="I43" s="115">
        <v>1</v>
      </c>
      <c r="J43" s="115">
        <v>1</v>
      </c>
      <c r="K43" s="115">
        <v>1</v>
      </c>
      <c r="L43" s="115">
        <v>1</v>
      </c>
      <c r="M43" s="115">
        <v>1</v>
      </c>
      <c r="N43" s="115">
        <v>1</v>
      </c>
      <c r="R43" s="53">
        <v>0.41666666666666702</v>
      </c>
      <c r="S43" s="11">
        <f t="shared" ref="S43:T47" si="11">+C43*$P$30</f>
        <v>0.18264840182648401</v>
      </c>
      <c r="T43" s="11">
        <f t="shared" si="11"/>
        <v>0.18264840182648401</v>
      </c>
      <c r="U43" s="11">
        <f t="shared" si="10"/>
        <v>0.18264840182648401</v>
      </c>
      <c r="V43" s="11">
        <f t="shared" si="9"/>
        <v>0.18264840182648401</v>
      </c>
      <c r="W43" s="11">
        <f t="shared" si="9"/>
        <v>0.18264840182648401</v>
      </c>
      <c r="X43" s="11">
        <f t="shared" si="9"/>
        <v>0.18264840182648401</v>
      </c>
      <c r="Y43" s="11">
        <f t="shared" si="9"/>
        <v>0.18264840182648401</v>
      </c>
      <c r="Z43" s="11">
        <f t="shared" si="9"/>
        <v>0.18264840182648401</v>
      </c>
      <c r="AA43" s="11">
        <f t="shared" si="9"/>
        <v>0.18264840182648401</v>
      </c>
      <c r="AB43" s="11">
        <f t="shared" si="9"/>
        <v>0.18264840182648401</v>
      </c>
      <c r="AC43" s="11">
        <f t="shared" si="9"/>
        <v>0.18264840182648401</v>
      </c>
      <c r="AD43" s="11">
        <f t="shared" si="9"/>
        <v>0.18264840182648401</v>
      </c>
    </row>
    <row r="44" spans="2:30" x14ac:dyDescent="0.2">
      <c r="B44" s="53">
        <v>0.45833333333333298</v>
      </c>
      <c r="C44" s="115">
        <v>1</v>
      </c>
      <c r="D44" s="115">
        <v>1</v>
      </c>
      <c r="E44" s="115">
        <v>1</v>
      </c>
      <c r="F44" s="115">
        <v>1</v>
      </c>
      <c r="G44" s="115">
        <v>1</v>
      </c>
      <c r="H44" s="115">
        <v>1</v>
      </c>
      <c r="I44" s="115">
        <v>1</v>
      </c>
      <c r="J44" s="115">
        <v>1</v>
      </c>
      <c r="K44" s="115">
        <v>1</v>
      </c>
      <c r="L44" s="115">
        <v>1</v>
      </c>
      <c r="M44" s="115">
        <v>1</v>
      </c>
      <c r="N44" s="115">
        <v>1</v>
      </c>
      <c r="R44" s="53">
        <v>0.45833333333333298</v>
      </c>
      <c r="S44" s="11">
        <f t="shared" si="11"/>
        <v>0.18264840182648401</v>
      </c>
      <c r="T44" s="11">
        <f t="shared" si="11"/>
        <v>0.18264840182648401</v>
      </c>
      <c r="U44" s="11">
        <f t="shared" si="10"/>
        <v>0.18264840182648401</v>
      </c>
      <c r="V44" s="11">
        <f t="shared" si="9"/>
        <v>0.18264840182648401</v>
      </c>
      <c r="W44" s="11">
        <f t="shared" si="9"/>
        <v>0.18264840182648401</v>
      </c>
      <c r="X44" s="11">
        <f t="shared" si="9"/>
        <v>0.18264840182648401</v>
      </c>
      <c r="Y44" s="11">
        <f t="shared" si="9"/>
        <v>0.18264840182648401</v>
      </c>
      <c r="Z44" s="11">
        <f t="shared" si="9"/>
        <v>0.18264840182648401</v>
      </c>
      <c r="AA44" s="11">
        <f t="shared" si="9"/>
        <v>0.18264840182648401</v>
      </c>
      <c r="AB44" s="11">
        <f t="shared" si="9"/>
        <v>0.18264840182648401</v>
      </c>
      <c r="AC44" s="11">
        <f t="shared" si="9"/>
        <v>0.18264840182648401</v>
      </c>
      <c r="AD44" s="11">
        <f t="shared" si="9"/>
        <v>0.18264840182648401</v>
      </c>
    </row>
    <row r="45" spans="2:30" x14ac:dyDescent="0.2">
      <c r="B45" s="53">
        <v>0.5</v>
      </c>
      <c r="C45" s="115">
        <v>1</v>
      </c>
      <c r="D45" s="115">
        <v>1</v>
      </c>
      <c r="E45" s="115">
        <v>1</v>
      </c>
      <c r="F45" s="115">
        <v>1</v>
      </c>
      <c r="G45" s="115">
        <v>1</v>
      </c>
      <c r="H45" s="115">
        <v>1</v>
      </c>
      <c r="I45" s="115">
        <v>1</v>
      </c>
      <c r="J45" s="115">
        <v>1</v>
      </c>
      <c r="K45" s="115">
        <v>1</v>
      </c>
      <c r="L45" s="115">
        <v>1</v>
      </c>
      <c r="M45" s="115">
        <v>1</v>
      </c>
      <c r="N45" s="115">
        <v>1</v>
      </c>
      <c r="R45" s="53">
        <v>0.5</v>
      </c>
      <c r="S45" s="11">
        <f t="shared" si="11"/>
        <v>0.18264840182648401</v>
      </c>
      <c r="T45" s="11">
        <f t="shared" si="11"/>
        <v>0.18264840182648401</v>
      </c>
      <c r="U45" s="11">
        <f t="shared" si="10"/>
        <v>0.18264840182648401</v>
      </c>
      <c r="V45" s="11">
        <f t="shared" si="9"/>
        <v>0.18264840182648401</v>
      </c>
      <c r="W45" s="11">
        <f t="shared" si="9"/>
        <v>0.18264840182648401</v>
      </c>
      <c r="X45" s="11">
        <f t="shared" si="9"/>
        <v>0.18264840182648401</v>
      </c>
      <c r="Y45" s="11">
        <f t="shared" si="9"/>
        <v>0.18264840182648401</v>
      </c>
      <c r="Z45" s="11">
        <f t="shared" si="9"/>
        <v>0.18264840182648401</v>
      </c>
      <c r="AA45" s="11">
        <f t="shared" si="9"/>
        <v>0.18264840182648401</v>
      </c>
      <c r="AB45" s="11">
        <f t="shared" si="9"/>
        <v>0.18264840182648401</v>
      </c>
      <c r="AC45" s="11">
        <f t="shared" si="9"/>
        <v>0.18264840182648401</v>
      </c>
      <c r="AD45" s="11">
        <f t="shared" si="9"/>
        <v>0.18264840182648401</v>
      </c>
    </row>
    <row r="46" spans="2:30" x14ac:dyDescent="0.2">
      <c r="B46" s="53">
        <v>0.54166666666666696</v>
      </c>
      <c r="C46" s="115">
        <v>1</v>
      </c>
      <c r="D46" s="115">
        <v>1</v>
      </c>
      <c r="E46" s="115">
        <v>1</v>
      </c>
      <c r="F46" s="115">
        <v>0</v>
      </c>
      <c r="G46" s="115">
        <v>0</v>
      </c>
      <c r="H46" s="115">
        <v>0</v>
      </c>
      <c r="I46" s="115">
        <v>0</v>
      </c>
      <c r="J46" s="115">
        <v>0</v>
      </c>
      <c r="K46" s="115">
        <v>0</v>
      </c>
      <c r="L46" s="115">
        <v>1</v>
      </c>
      <c r="M46" s="115">
        <v>1</v>
      </c>
      <c r="N46" s="115">
        <v>1</v>
      </c>
      <c r="R46" s="53">
        <v>0.54166666666666696</v>
      </c>
      <c r="S46" s="11">
        <f t="shared" si="11"/>
        <v>0.18264840182648401</v>
      </c>
      <c r="T46" s="11">
        <f t="shared" si="11"/>
        <v>0.18264840182648401</v>
      </c>
      <c r="U46" s="11">
        <f t="shared" si="10"/>
        <v>0.18264840182648401</v>
      </c>
      <c r="V46" s="120">
        <v>0</v>
      </c>
      <c r="W46" s="120">
        <v>0</v>
      </c>
      <c r="X46" s="120">
        <v>0</v>
      </c>
      <c r="Y46" s="120">
        <v>0</v>
      </c>
      <c r="Z46" s="120">
        <v>0</v>
      </c>
      <c r="AA46" s="120">
        <v>0</v>
      </c>
      <c r="AB46" s="11">
        <f t="shared" si="9"/>
        <v>0.18264840182648401</v>
      </c>
      <c r="AC46" s="11">
        <f t="shared" si="9"/>
        <v>0.18264840182648401</v>
      </c>
      <c r="AD46" s="11">
        <f t="shared" si="9"/>
        <v>0.18264840182648401</v>
      </c>
    </row>
    <row r="47" spans="2:30" x14ac:dyDescent="0.2">
      <c r="B47" s="53">
        <v>0.58333333333333304</v>
      </c>
      <c r="C47" s="115">
        <v>1</v>
      </c>
      <c r="D47" s="115">
        <v>1</v>
      </c>
      <c r="E47" s="115">
        <v>0</v>
      </c>
      <c r="F47" s="115">
        <v>0</v>
      </c>
      <c r="G47" s="115">
        <v>0</v>
      </c>
      <c r="H47" s="115">
        <v>0</v>
      </c>
      <c r="I47" s="115">
        <v>0</v>
      </c>
      <c r="J47" s="115">
        <v>0</v>
      </c>
      <c r="K47" s="115">
        <v>0</v>
      </c>
      <c r="L47" s="115">
        <v>0</v>
      </c>
      <c r="M47" s="115">
        <v>1</v>
      </c>
      <c r="N47" s="115">
        <v>1</v>
      </c>
      <c r="R47" s="53">
        <v>0.58333333333333304</v>
      </c>
      <c r="S47" s="11">
        <f t="shared" si="11"/>
        <v>0.18264840182648401</v>
      </c>
      <c r="T47" s="11">
        <f t="shared" si="11"/>
        <v>0.18264840182648401</v>
      </c>
      <c r="U47" s="120">
        <v>0</v>
      </c>
      <c r="V47" s="120">
        <v>0</v>
      </c>
      <c r="W47" s="120">
        <v>0</v>
      </c>
      <c r="X47" s="120">
        <v>0</v>
      </c>
      <c r="Y47" s="120">
        <v>0</v>
      </c>
      <c r="Z47" s="120">
        <v>0</v>
      </c>
      <c r="AA47" s="120">
        <v>0</v>
      </c>
      <c r="AB47" s="120">
        <v>0</v>
      </c>
      <c r="AC47" s="11">
        <f t="shared" si="9"/>
        <v>0.18264840182648401</v>
      </c>
      <c r="AD47" s="11">
        <f t="shared" si="9"/>
        <v>0.18264840182648401</v>
      </c>
    </row>
    <row r="48" spans="2:30" x14ac:dyDescent="0.2">
      <c r="B48" s="53">
        <v>0.625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  <c r="I48" s="115">
        <v>0</v>
      </c>
      <c r="J48" s="115">
        <v>0</v>
      </c>
      <c r="K48" s="115">
        <v>0</v>
      </c>
      <c r="L48" s="115">
        <v>0</v>
      </c>
      <c r="M48" s="115">
        <v>0</v>
      </c>
      <c r="N48" s="115">
        <v>0</v>
      </c>
      <c r="R48" s="53">
        <v>0.625</v>
      </c>
      <c r="S48" s="120">
        <v>0</v>
      </c>
      <c r="T48" s="120">
        <v>0</v>
      </c>
      <c r="U48" s="120">
        <v>0</v>
      </c>
      <c r="V48" s="120">
        <v>0</v>
      </c>
      <c r="W48" s="120">
        <v>0</v>
      </c>
      <c r="X48" s="120">
        <v>0</v>
      </c>
      <c r="Y48" s="120">
        <v>0</v>
      </c>
      <c r="Z48" s="120">
        <v>0</v>
      </c>
      <c r="AA48" s="120">
        <v>0</v>
      </c>
      <c r="AB48" s="120">
        <v>0</v>
      </c>
      <c r="AC48" s="120">
        <v>0</v>
      </c>
      <c r="AD48" s="120">
        <v>0</v>
      </c>
    </row>
    <row r="49" spans="2:30" x14ac:dyDescent="0.2">
      <c r="B49" s="53">
        <v>0.66666666666666696</v>
      </c>
      <c r="C49" s="115">
        <v>0</v>
      </c>
      <c r="D49" s="115">
        <v>0</v>
      </c>
      <c r="E49" s="115">
        <v>0</v>
      </c>
      <c r="F49" s="115">
        <v>0</v>
      </c>
      <c r="G49" s="115">
        <v>0</v>
      </c>
      <c r="H49" s="115">
        <v>0</v>
      </c>
      <c r="I49" s="115">
        <v>0</v>
      </c>
      <c r="J49" s="115">
        <v>0</v>
      </c>
      <c r="K49" s="115">
        <v>0</v>
      </c>
      <c r="L49" s="115">
        <v>0</v>
      </c>
      <c r="M49" s="115">
        <v>0</v>
      </c>
      <c r="N49" s="115">
        <v>0</v>
      </c>
      <c r="R49" s="53">
        <v>0.66666666666666696</v>
      </c>
      <c r="S49" s="120">
        <v>0</v>
      </c>
      <c r="T49" s="120">
        <v>0</v>
      </c>
      <c r="U49" s="120">
        <v>0</v>
      </c>
      <c r="V49" s="120">
        <v>0</v>
      </c>
      <c r="W49" s="120">
        <v>0</v>
      </c>
      <c r="X49" s="120">
        <v>0</v>
      </c>
      <c r="Y49" s="120">
        <v>0</v>
      </c>
      <c r="Z49" s="120">
        <v>0</v>
      </c>
      <c r="AA49" s="120">
        <v>0</v>
      </c>
      <c r="AB49" s="120">
        <v>0</v>
      </c>
      <c r="AC49" s="120">
        <v>0</v>
      </c>
      <c r="AD49" s="120">
        <v>0</v>
      </c>
    </row>
    <row r="50" spans="2:30" x14ac:dyDescent="0.2">
      <c r="B50" s="53">
        <v>0.70833333333333304</v>
      </c>
      <c r="C50" s="115">
        <v>0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  <c r="I50" s="115">
        <v>0</v>
      </c>
      <c r="J50" s="115">
        <v>0</v>
      </c>
      <c r="K50" s="115">
        <v>0</v>
      </c>
      <c r="L50" s="115">
        <v>0</v>
      </c>
      <c r="M50" s="115">
        <v>0</v>
      </c>
      <c r="N50" s="115">
        <v>0</v>
      </c>
      <c r="R50" s="53">
        <v>0.70833333333333304</v>
      </c>
      <c r="S50" s="120">
        <v>0</v>
      </c>
      <c r="T50" s="120">
        <v>0</v>
      </c>
      <c r="U50" s="120">
        <v>0</v>
      </c>
      <c r="V50" s="120">
        <v>0</v>
      </c>
      <c r="W50" s="120">
        <v>0</v>
      </c>
      <c r="X50" s="120">
        <v>0</v>
      </c>
      <c r="Y50" s="120">
        <v>0</v>
      </c>
      <c r="Z50" s="120">
        <v>0</v>
      </c>
      <c r="AA50" s="120">
        <v>0</v>
      </c>
      <c r="AB50" s="120">
        <v>0</v>
      </c>
      <c r="AC50" s="120">
        <v>0</v>
      </c>
      <c r="AD50" s="120">
        <v>0</v>
      </c>
    </row>
    <row r="51" spans="2:30" x14ac:dyDescent="0.2">
      <c r="B51" s="53">
        <v>0.75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  <c r="I51" s="115">
        <v>0</v>
      </c>
      <c r="J51" s="115">
        <v>0</v>
      </c>
      <c r="K51" s="115">
        <v>0</v>
      </c>
      <c r="L51" s="115">
        <v>0</v>
      </c>
      <c r="M51" s="115">
        <v>0</v>
      </c>
      <c r="N51" s="115">
        <v>0</v>
      </c>
      <c r="R51" s="53">
        <v>0.75</v>
      </c>
      <c r="S51" s="120">
        <v>0</v>
      </c>
      <c r="T51" s="120">
        <v>0</v>
      </c>
      <c r="U51" s="120">
        <v>0</v>
      </c>
      <c r="V51" s="120">
        <v>0</v>
      </c>
      <c r="W51" s="120">
        <v>0</v>
      </c>
      <c r="X51" s="120">
        <v>0</v>
      </c>
      <c r="Y51" s="120">
        <v>0</v>
      </c>
      <c r="Z51" s="120">
        <v>0</v>
      </c>
      <c r="AA51" s="120">
        <v>0</v>
      </c>
      <c r="AB51" s="120">
        <v>0</v>
      </c>
      <c r="AC51" s="120">
        <v>0</v>
      </c>
      <c r="AD51" s="120">
        <v>0</v>
      </c>
    </row>
    <row r="52" spans="2:30" x14ac:dyDescent="0.2">
      <c r="B52" s="53">
        <v>0.79166666666666696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  <c r="I52" s="115">
        <v>0</v>
      </c>
      <c r="J52" s="115">
        <v>0</v>
      </c>
      <c r="K52" s="115">
        <v>0</v>
      </c>
      <c r="L52" s="115">
        <v>0</v>
      </c>
      <c r="M52" s="115">
        <v>0</v>
      </c>
      <c r="N52" s="115">
        <v>0</v>
      </c>
      <c r="R52" s="53">
        <v>0.79166666666666696</v>
      </c>
      <c r="S52" s="120">
        <v>0</v>
      </c>
      <c r="T52" s="120">
        <v>0</v>
      </c>
      <c r="U52" s="120">
        <v>0</v>
      </c>
      <c r="V52" s="120">
        <v>0</v>
      </c>
      <c r="W52" s="120">
        <v>0</v>
      </c>
      <c r="X52" s="120">
        <v>0</v>
      </c>
      <c r="Y52" s="120">
        <v>0</v>
      </c>
      <c r="Z52" s="120">
        <v>0</v>
      </c>
      <c r="AA52" s="120">
        <v>0</v>
      </c>
      <c r="AB52" s="120">
        <v>0</v>
      </c>
      <c r="AC52" s="120">
        <v>0</v>
      </c>
      <c r="AD52" s="120">
        <v>0</v>
      </c>
    </row>
    <row r="53" spans="2:30" x14ac:dyDescent="0.2">
      <c r="B53" s="53">
        <v>0.83333333333333304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  <c r="I53" s="115">
        <v>0</v>
      </c>
      <c r="J53" s="115">
        <v>0</v>
      </c>
      <c r="K53" s="115">
        <v>0</v>
      </c>
      <c r="L53" s="115">
        <v>0</v>
      </c>
      <c r="M53" s="115">
        <v>0</v>
      </c>
      <c r="N53" s="115">
        <v>0</v>
      </c>
      <c r="R53" s="53">
        <v>0.83333333333333304</v>
      </c>
      <c r="S53" s="120">
        <v>0</v>
      </c>
      <c r="T53" s="120">
        <v>0</v>
      </c>
      <c r="U53" s="120">
        <v>0</v>
      </c>
      <c r="V53" s="120">
        <v>0</v>
      </c>
      <c r="W53" s="120">
        <v>0</v>
      </c>
      <c r="X53" s="120">
        <v>0</v>
      </c>
      <c r="Y53" s="120">
        <v>0</v>
      </c>
      <c r="Z53" s="120">
        <v>0</v>
      </c>
      <c r="AA53" s="120">
        <v>0</v>
      </c>
      <c r="AB53" s="120">
        <v>0</v>
      </c>
      <c r="AC53" s="120">
        <v>0</v>
      </c>
      <c r="AD53" s="120">
        <v>0</v>
      </c>
    </row>
    <row r="54" spans="2:30" x14ac:dyDescent="0.2">
      <c r="B54" s="53">
        <v>0.875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  <c r="I54" s="115">
        <v>0</v>
      </c>
      <c r="J54" s="115">
        <v>0</v>
      </c>
      <c r="K54" s="115">
        <v>0</v>
      </c>
      <c r="L54" s="115">
        <v>0</v>
      </c>
      <c r="M54" s="115">
        <v>0</v>
      </c>
      <c r="N54" s="115">
        <v>0</v>
      </c>
      <c r="R54" s="53">
        <v>0.875</v>
      </c>
      <c r="S54" s="120">
        <v>0</v>
      </c>
      <c r="T54" s="120">
        <v>0</v>
      </c>
      <c r="U54" s="120">
        <v>0</v>
      </c>
      <c r="V54" s="120">
        <v>0</v>
      </c>
      <c r="W54" s="120">
        <v>0</v>
      </c>
      <c r="X54" s="120">
        <v>0</v>
      </c>
      <c r="Y54" s="120">
        <v>0</v>
      </c>
      <c r="Z54" s="120">
        <v>0</v>
      </c>
      <c r="AA54" s="120">
        <v>0</v>
      </c>
      <c r="AB54" s="120">
        <v>0</v>
      </c>
      <c r="AC54" s="120">
        <v>0</v>
      </c>
      <c r="AD54" s="120">
        <v>0</v>
      </c>
    </row>
    <row r="55" spans="2:30" x14ac:dyDescent="0.2">
      <c r="B55" s="53">
        <v>0.91666666666666696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  <c r="I55" s="115">
        <v>0</v>
      </c>
      <c r="J55" s="115">
        <v>0</v>
      </c>
      <c r="K55" s="115">
        <v>0</v>
      </c>
      <c r="L55" s="115">
        <v>0</v>
      </c>
      <c r="M55" s="115">
        <v>0</v>
      </c>
      <c r="N55" s="115">
        <v>0</v>
      </c>
      <c r="R55" s="53">
        <v>0.91666666666666696</v>
      </c>
      <c r="S55" s="120">
        <v>0</v>
      </c>
      <c r="T55" s="120">
        <v>0</v>
      </c>
      <c r="U55" s="120">
        <v>0</v>
      </c>
      <c r="V55" s="120">
        <v>0</v>
      </c>
      <c r="W55" s="120">
        <v>0</v>
      </c>
      <c r="X55" s="120">
        <v>0</v>
      </c>
      <c r="Y55" s="120">
        <v>0</v>
      </c>
      <c r="Z55" s="120">
        <v>0</v>
      </c>
      <c r="AA55" s="120">
        <v>0</v>
      </c>
      <c r="AB55" s="120">
        <v>0</v>
      </c>
      <c r="AC55" s="120">
        <v>0</v>
      </c>
      <c r="AD55" s="120">
        <v>0</v>
      </c>
    </row>
    <row r="56" spans="2:30" x14ac:dyDescent="0.2">
      <c r="B56" s="53">
        <v>0.95833333333333304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  <c r="I56" s="115">
        <v>0</v>
      </c>
      <c r="J56" s="115">
        <v>0</v>
      </c>
      <c r="K56" s="115">
        <v>0</v>
      </c>
      <c r="L56" s="115">
        <v>0</v>
      </c>
      <c r="M56" s="115">
        <v>0</v>
      </c>
      <c r="N56" s="115">
        <v>0</v>
      </c>
      <c r="R56" s="53">
        <v>0.95833333333333304</v>
      </c>
      <c r="S56" s="120">
        <v>0</v>
      </c>
      <c r="T56" s="120">
        <v>0</v>
      </c>
      <c r="U56" s="120">
        <v>0</v>
      </c>
      <c r="V56" s="120">
        <v>0</v>
      </c>
      <c r="W56" s="120">
        <v>0</v>
      </c>
      <c r="X56" s="120">
        <v>0</v>
      </c>
      <c r="Y56" s="120">
        <v>0</v>
      </c>
      <c r="Z56" s="120">
        <v>0</v>
      </c>
      <c r="AA56" s="120">
        <v>0</v>
      </c>
      <c r="AB56" s="120">
        <v>0</v>
      </c>
      <c r="AC56" s="120">
        <v>0</v>
      </c>
      <c r="AD56" s="120">
        <v>0</v>
      </c>
    </row>
    <row r="57" spans="2:30" x14ac:dyDescent="0.2">
      <c r="C57" s="51">
        <f>SUM(C33:C56)</f>
        <v>6</v>
      </c>
      <c r="D57" s="63">
        <f t="shared" ref="D57:N57" si="12">SUM(D33:D56)</f>
        <v>6</v>
      </c>
      <c r="E57" s="63">
        <f t="shared" si="12"/>
        <v>6</v>
      </c>
      <c r="F57" s="63">
        <f t="shared" si="12"/>
        <v>6</v>
      </c>
      <c r="G57" s="63">
        <f t="shared" si="12"/>
        <v>6</v>
      </c>
      <c r="H57" s="63">
        <f t="shared" si="12"/>
        <v>6</v>
      </c>
      <c r="I57" s="63">
        <f t="shared" si="12"/>
        <v>6</v>
      </c>
      <c r="J57" s="63">
        <f t="shared" si="12"/>
        <v>6</v>
      </c>
      <c r="K57" s="63">
        <f t="shared" si="12"/>
        <v>6</v>
      </c>
      <c r="L57" s="63">
        <f t="shared" si="12"/>
        <v>6</v>
      </c>
      <c r="M57" s="63">
        <f t="shared" si="12"/>
        <v>6</v>
      </c>
      <c r="N57" s="63">
        <f t="shared" si="12"/>
        <v>6</v>
      </c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</row>
    <row r="59" spans="2:30" x14ac:dyDescent="0.2">
      <c r="B59">
        <v>3</v>
      </c>
      <c r="R59">
        <v>3</v>
      </c>
    </row>
    <row r="61" spans="2:30" x14ac:dyDescent="0.2">
      <c r="B61" s="53">
        <v>0</v>
      </c>
      <c r="C61" s="78">
        <v>0</v>
      </c>
      <c r="D61" s="108">
        <v>0</v>
      </c>
      <c r="E61" s="80">
        <v>0</v>
      </c>
      <c r="F61" s="80">
        <v>0</v>
      </c>
      <c r="G61" s="78">
        <v>0</v>
      </c>
      <c r="H61" s="77">
        <v>0</v>
      </c>
      <c r="I61" s="77">
        <v>0</v>
      </c>
      <c r="J61" s="77">
        <v>0</v>
      </c>
      <c r="K61" s="80">
        <v>0</v>
      </c>
      <c r="L61" s="80">
        <v>0</v>
      </c>
      <c r="M61" s="108">
        <v>0</v>
      </c>
      <c r="N61" s="108">
        <v>0</v>
      </c>
      <c r="R61" s="53">
        <v>0</v>
      </c>
      <c r="S61" s="120">
        <v>0</v>
      </c>
      <c r="T61" s="120">
        <v>0</v>
      </c>
      <c r="U61" s="120">
        <v>0</v>
      </c>
      <c r="V61" s="120">
        <v>0</v>
      </c>
      <c r="W61" s="120">
        <v>0</v>
      </c>
      <c r="X61" s="120">
        <v>0</v>
      </c>
      <c r="Y61" s="120">
        <v>0</v>
      </c>
      <c r="Z61" s="120">
        <v>0</v>
      </c>
      <c r="AA61" s="120">
        <v>0</v>
      </c>
      <c r="AB61" s="120">
        <v>0</v>
      </c>
      <c r="AC61" s="120">
        <v>0</v>
      </c>
      <c r="AD61" s="120">
        <v>0</v>
      </c>
    </row>
    <row r="62" spans="2:30" x14ac:dyDescent="0.2">
      <c r="B62" s="53">
        <v>4.1666666666666664E-2</v>
      </c>
      <c r="C62" s="78">
        <v>0</v>
      </c>
      <c r="D62" s="108">
        <v>0</v>
      </c>
      <c r="E62" s="80">
        <v>0</v>
      </c>
      <c r="F62" s="80">
        <v>0</v>
      </c>
      <c r="G62" s="78">
        <v>0</v>
      </c>
      <c r="H62" s="77">
        <v>0</v>
      </c>
      <c r="I62" s="77">
        <v>0</v>
      </c>
      <c r="J62" s="77">
        <v>0</v>
      </c>
      <c r="K62" s="80">
        <v>0</v>
      </c>
      <c r="L62" s="80">
        <v>0</v>
      </c>
      <c r="M62" s="108">
        <v>0</v>
      </c>
      <c r="N62" s="108">
        <v>0</v>
      </c>
      <c r="R62" s="53">
        <v>4.1666666666666664E-2</v>
      </c>
      <c r="S62" s="120">
        <v>0</v>
      </c>
      <c r="T62" s="120">
        <v>0</v>
      </c>
      <c r="U62" s="120">
        <v>0</v>
      </c>
      <c r="V62" s="120">
        <v>0</v>
      </c>
      <c r="W62" s="120">
        <v>0</v>
      </c>
      <c r="X62" s="120">
        <v>0</v>
      </c>
      <c r="Y62" s="120">
        <v>0</v>
      </c>
      <c r="Z62" s="120">
        <v>0</v>
      </c>
      <c r="AA62" s="120">
        <v>0</v>
      </c>
      <c r="AB62" s="120">
        <v>0</v>
      </c>
      <c r="AC62" s="120">
        <v>0</v>
      </c>
      <c r="AD62" s="120">
        <v>0</v>
      </c>
    </row>
    <row r="63" spans="2:30" x14ac:dyDescent="0.2">
      <c r="B63" s="53">
        <v>8.3333333333333301E-2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  <c r="I63" s="115">
        <v>0</v>
      </c>
      <c r="J63" s="115">
        <v>0</v>
      </c>
      <c r="K63" s="115">
        <v>0</v>
      </c>
      <c r="L63" s="115">
        <v>0</v>
      </c>
      <c r="M63" s="115">
        <v>0</v>
      </c>
      <c r="N63" s="115">
        <v>0</v>
      </c>
      <c r="R63" s="53">
        <v>8.3333333333333301E-2</v>
      </c>
      <c r="S63" s="120">
        <v>0</v>
      </c>
      <c r="T63" s="120">
        <v>0</v>
      </c>
      <c r="U63" s="120">
        <v>0</v>
      </c>
      <c r="V63" s="120">
        <v>0</v>
      </c>
      <c r="W63" s="120">
        <v>0</v>
      </c>
      <c r="X63" s="120">
        <v>0</v>
      </c>
      <c r="Y63" s="120">
        <v>0</v>
      </c>
      <c r="Z63" s="120">
        <v>0</v>
      </c>
      <c r="AA63" s="120">
        <v>0</v>
      </c>
      <c r="AB63" s="120">
        <v>0</v>
      </c>
      <c r="AC63" s="120">
        <v>0</v>
      </c>
      <c r="AD63" s="120">
        <v>0</v>
      </c>
    </row>
    <row r="64" spans="2:30" x14ac:dyDescent="0.2">
      <c r="B64" s="53">
        <v>0.125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  <c r="I64" s="115">
        <v>0</v>
      </c>
      <c r="J64" s="115">
        <v>0</v>
      </c>
      <c r="K64" s="115">
        <v>0</v>
      </c>
      <c r="L64" s="115">
        <v>0</v>
      </c>
      <c r="M64" s="115">
        <v>0</v>
      </c>
      <c r="N64" s="115">
        <v>0</v>
      </c>
      <c r="R64" s="53">
        <v>0.125</v>
      </c>
      <c r="S64" s="120">
        <v>0</v>
      </c>
      <c r="T64" s="120">
        <v>0</v>
      </c>
      <c r="U64" s="120">
        <v>0</v>
      </c>
      <c r="V64" s="120">
        <v>0</v>
      </c>
      <c r="W64" s="120">
        <v>0</v>
      </c>
      <c r="X64" s="120">
        <v>0</v>
      </c>
      <c r="Y64" s="120">
        <v>0</v>
      </c>
      <c r="Z64" s="120">
        <v>0</v>
      </c>
      <c r="AA64" s="120">
        <v>0</v>
      </c>
      <c r="AB64" s="120">
        <v>0</v>
      </c>
      <c r="AC64" s="120">
        <v>0</v>
      </c>
      <c r="AD64" s="120">
        <v>0</v>
      </c>
    </row>
    <row r="65" spans="2:30" x14ac:dyDescent="0.2">
      <c r="B65" s="53">
        <v>0.16666666666666699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  <c r="I65" s="115">
        <v>0</v>
      </c>
      <c r="J65" s="115">
        <v>0</v>
      </c>
      <c r="K65" s="115">
        <v>0</v>
      </c>
      <c r="L65" s="115">
        <v>0</v>
      </c>
      <c r="M65" s="115">
        <v>0</v>
      </c>
      <c r="N65" s="115">
        <v>0</v>
      </c>
      <c r="R65" s="53">
        <v>0.16666666666666699</v>
      </c>
      <c r="S65" s="120">
        <v>0</v>
      </c>
      <c r="T65" s="120">
        <v>0</v>
      </c>
      <c r="U65" s="120">
        <v>0</v>
      </c>
      <c r="V65" s="120">
        <v>0</v>
      </c>
      <c r="W65" s="120">
        <v>0</v>
      </c>
      <c r="X65" s="120">
        <v>0</v>
      </c>
      <c r="Y65" s="120">
        <v>0</v>
      </c>
      <c r="Z65" s="120">
        <v>0</v>
      </c>
      <c r="AA65" s="120">
        <v>0</v>
      </c>
      <c r="AB65" s="120">
        <v>0</v>
      </c>
      <c r="AC65" s="120">
        <v>0</v>
      </c>
      <c r="AD65" s="120">
        <v>0</v>
      </c>
    </row>
    <row r="66" spans="2:30" x14ac:dyDescent="0.2">
      <c r="B66" s="53">
        <v>0.20833333333333301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  <c r="I66" s="115">
        <v>0</v>
      </c>
      <c r="J66" s="115">
        <v>0</v>
      </c>
      <c r="K66" s="115">
        <v>0</v>
      </c>
      <c r="L66" s="115">
        <v>0</v>
      </c>
      <c r="M66" s="115">
        <v>0</v>
      </c>
      <c r="N66" s="115">
        <v>0</v>
      </c>
      <c r="R66" s="53">
        <v>0.20833333333333301</v>
      </c>
      <c r="S66" s="120">
        <v>0</v>
      </c>
      <c r="T66" s="120">
        <v>0</v>
      </c>
      <c r="U66" s="120">
        <v>0</v>
      </c>
      <c r="V66" s="120">
        <v>0</v>
      </c>
      <c r="W66" s="120">
        <v>0</v>
      </c>
      <c r="X66" s="120">
        <v>0</v>
      </c>
      <c r="Y66" s="120">
        <v>0</v>
      </c>
      <c r="Z66" s="120">
        <v>0</v>
      </c>
      <c r="AA66" s="120">
        <v>0</v>
      </c>
      <c r="AB66" s="120">
        <v>0</v>
      </c>
      <c r="AC66" s="120">
        <v>0</v>
      </c>
      <c r="AD66" s="120">
        <v>0</v>
      </c>
    </row>
    <row r="67" spans="2:30" x14ac:dyDescent="0.2">
      <c r="B67" s="53">
        <v>0.25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  <c r="I67" s="115">
        <v>0</v>
      </c>
      <c r="J67" s="115">
        <v>0</v>
      </c>
      <c r="K67" s="115">
        <v>0</v>
      </c>
      <c r="L67" s="115">
        <v>0</v>
      </c>
      <c r="M67" s="115">
        <v>0</v>
      </c>
      <c r="N67" s="115">
        <v>0</v>
      </c>
      <c r="R67" s="53">
        <v>0.25</v>
      </c>
      <c r="S67" s="120">
        <v>0</v>
      </c>
      <c r="T67" s="120">
        <v>0</v>
      </c>
      <c r="U67" s="120">
        <v>0</v>
      </c>
      <c r="V67" s="120">
        <v>0</v>
      </c>
      <c r="W67" s="120">
        <v>0</v>
      </c>
      <c r="X67" s="120">
        <v>0</v>
      </c>
      <c r="Y67" s="120">
        <v>0</v>
      </c>
      <c r="Z67" s="120">
        <v>0</v>
      </c>
      <c r="AA67" s="120">
        <v>0</v>
      </c>
      <c r="AB67" s="120">
        <v>0</v>
      </c>
      <c r="AC67" s="120">
        <v>0</v>
      </c>
      <c r="AD67" s="120">
        <v>0</v>
      </c>
    </row>
    <row r="68" spans="2:30" x14ac:dyDescent="0.2">
      <c r="B68" s="53">
        <v>0.29166666666666702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  <c r="I68" s="115">
        <v>0</v>
      </c>
      <c r="J68" s="115">
        <v>0</v>
      </c>
      <c r="K68" s="115">
        <v>0</v>
      </c>
      <c r="L68" s="115">
        <v>0</v>
      </c>
      <c r="M68" s="115">
        <v>0</v>
      </c>
      <c r="N68" s="115">
        <v>0</v>
      </c>
      <c r="R68" s="53">
        <v>0.29166666666666702</v>
      </c>
      <c r="S68" s="120">
        <v>0</v>
      </c>
      <c r="T68" s="120">
        <v>0</v>
      </c>
      <c r="U68" s="120">
        <v>0</v>
      </c>
      <c r="V68" s="120">
        <v>0</v>
      </c>
      <c r="W68" s="120">
        <v>0</v>
      </c>
      <c r="X68" s="120">
        <v>0</v>
      </c>
      <c r="Y68" s="120">
        <v>0</v>
      </c>
      <c r="Z68" s="120">
        <v>0</v>
      </c>
      <c r="AA68" s="120">
        <v>0</v>
      </c>
      <c r="AB68" s="120">
        <v>0</v>
      </c>
      <c r="AC68" s="120">
        <v>0</v>
      </c>
      <c r="AD68" s="120">
        <v>0</v>
      </c>
    </row>
    <row r="69" spans="2:30" x14ac:dyDescent="0.2">
      <c r="B69" s="53">
        <v>0.33333333333333298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  <c r="I69" s="115">
        <v>0</v>
      </c>
      <c r="J69" s="115">
        <v>0</v>
      </c>
      <c r="K69" s="115">
        <v>0</v>
      </c>
      <c r="L69" s="115">
        <v>0</v>
      </c>
      <c r="M69" s="115">
        <v>0</v>
      </c>
      <c r="N69" s="115">
        <v>0</v>
      </c>
      <c r="R69" s="53">
        <v>0.33333333333333298</v>
      </c>
      <c r="S69" s="120">
        <v>0</v>
      </c>
      <c r="T69" s="120">
        <v>0</v>
      </c>
      <c r="U69" s="120">
        <v>0</v>
      </c>
      <c r="V69" s="120">
        <v>0</v>
      </c>
      <c r="W69" s="120">
        <v>0</v>
      </c>
      <c r="X69" s="120">
        <v>0</v>
      </c>
      <c r="Y69" s="120">
        <v>0</v>
      </c>
      <c r="Z69" s="120">
        <v>0</v>
      </c>
      <c r="AA69" s="120">
        <v>0</v>
      </c>
      <c r="AB69" s="120">
        <v>0</v>
      </c>
      <c r="AC69" s="120">
        <v>0</v>
      </c>
      <c r="AD69" s="120">
        <v>0</v>
      </c>
    </row>
    <row r="70" spans="2:30" x14ac:dyDescent="0.2">
      <c r="B70" s="53">
        <v>0.375</v>
      </c>
      <c r="C70" s="115">
        <v>0</v>
      </c>
      <c r="D70" s="115">
        <v>0</v>
      </c>
      <c r="E70" s="115">
        <v>0</v>
      </c>
      <c r="F70" s="115">
        <v>1</v>
      </c>
      <c r="G70" s="115">
        <v>1</v>
      </c>
      <c r="H70" s="115">
        <v>1</v>
      </c>
      <c r="I70" s="115">
        <v>1</v>
      </c>
      <c r="J70" s="115">
        <v>1</v>
      </c>
      <c r="K70" s="115">
        <v>1</v>
      </c>
      <c r="L70" s="115">
        <v>0</v>
      </c>
      <c r="M70" s="115">
        <v>0</v>
      </c>
      <c r="N70" s="115">
        <v>0</v>
      </c>
      <c r="R70" s="53">
        <v>0.375</v>
      </c>
      <c r="S70" s="120">
        <v>0</v>
      </c>
      <c r="T70" s="120">
        <v>0</v>
      </c>
      <c r="U70" s="120">
        <v>0</v>
      </c>
      <c r="V70" s="11">
        <f t="shared" ref="V70:AD77" si="13">+F70*$P$30</f>
        <v>0.18264840182648401</v>
      </c>
      <c r="W70" s="11">
        <f t="shared" si="13"/>
        <v>0.18264840182648401</v>
      </c>
      <c r="X70" s="11">
        <f t="shared" si="13"/>
        <v>0.18264840182648401</v>
      </c>
      <c r="Y70" s="11">
        <f t="shared" si="13"/>
        <v>0.18264840182648401</v>
      </c>
      <c r="Z70" s="11">
        <f t="shared" si="13"/>
        <v>0.18264840182648401</v>
      </c>
      <c r="AA70" s="11">
        <f t="shared" si="13"/>
        <v>0.18264840182648401</v>
      </c>
      <c r="AB70" s="120">
        <v>0</v>
      </c>
      <c r="AC70" s="120">
        <v>0</v>
      </c>
      <c r="AD70" s="120">
        <v>0</v>
      </c>
    </row>
    <row r="71" spans="2:30" x14ac:dyDescent="0.2">
      <c r="B71" s="53">
        <v>0.41666666666666702</v>
      </c>
      <c r="C71" s="115">
        <v>0</v>
      </c>
      <c r="D71" s="115">
        <v>0</v>
      </c>
      <c r="E71" s="115">
        <v>1</v>
      </c>
      <c r="F71" s="115">
        <v>1</v>
      </c>
      <c r="G71" s="115">
        <v>1</v>
      </c>
      <c r="H71" s="115">
        <v>1</v>
      </c>
      <c r="I71" s="115">
        <v>1</v>
      </c>
      <c r="J71" s="115">
        <v>1</v>
      </c>
      <c r="K71" s="115">
        <v>1</v>
      </c>
      <c r="L71" s="115">
        <v>1</v>
      </c>
      <c r="M71" s="115">
        <v>0</v>
      </c>
      <c r="N71" s="115">
        <v>0</v>
      </c>
      <c r="R71" s="53">
        <v>0.41666666666666702</v>
      </c>
      <c r="S71" s="120">
        <v>0</v>
      </c>
      <c r="T71" s="120">
        <v>0</v>
      </c>
      <c r="U71" s="11">
        <f>+E71*$P$30</f>
        <v>0.18264840182648401</v>
      </c>
      <c r="V71" s="11">
        <f t="shared" si="13"/>
        <v>0.18264840182648401</v>
      </c>
      <c r="W71" s="11">
        <f t="shared" si="13"/>
        <v>0.18264840182648401</v>
      </c>
      <c r="X71" s="11">
        <f t="shared" si="13"/>
        <v>0.18264840182648401</v>
      </c>
      <c r="Y71" s="11">
        <f t="shared" si="13"/>
        <v>0.18264840182648401</v>
      </c>
      <c r="Z71" s="11">
        <f t="shared" si="13"/>
        <v>0.18264840182648401</v>
      </c>
      <c r="AA71" s="11">
        <f t="shared" si="13"/>
        <v>0.18264840182648401</v>
      </c>
      <c r="AB71" s="11">
        <f>+L71*$P$30</f>
        <v>0.18264840182648401</v>
      </c>
      <c r="AC71" s="120">
        <v>0</v>
      </c>
      <c r="AD71" s="120">
        <v>0</v>
      </c>
    </row>
    <row r="72" spans="2:30" x14ac:dyDescent="0.2">
      <c r="B72" s="53">
        <v>0.45833333333333298</v>
      </c>
      <c r="C72" s="115">
        <v>1</v>
      </c>
      <c r="D72" s="115">
        <v>1</v>
      </c>
      <c r="E72" s="115">
        <v>1</v>
      </c>
      <c r="F72" s="115">
        <v>1</v>
      </c>
      <c r="G72" s="115">
        <v>1</v>
      </c>
      <c r="H72" s="115">
        <v>1</v>
      </c>
      <c r="I72" s="115">
        <v>1</v>
      </c>
      <c r="J72" s="115">
        <v>1</v>
      </c>
      <c r="K72" s="115">
        <v>1</v>
      </c>
      <c r="L72" s="115">
        <v>1</v>
      </c>
      <c r="M72" s="115">
        <v>1</v>
      </c>
      <c r="N72" s="115">
        <v>1</v>
      </c>
      <c r="R72" s="53">
        <v>0.45833333333333298</v>
      </c>
      <c r="S72" s="11">
        <f>+C72*$P$30</f>
        <v>0.18264840182648401</v>
      </c>
      <c r="T72" s="11">
        <f>+D72*$P$30</f>
        <v>0.18264840182648401</v>
      </c>
      <c r="U72" s="11">
        <f t="shared" ref="U72:U76" si="14">+E72*$P$30</f>
        <v>0.18264840182648401</v>
      </c>
      <c r="V72" s="11">
        <f t="shared" si="13"/>
        <v>0.18264840182648401</v>
      </c>
      <c r="W72" s="11">
        <f t="shared" si="13"/>
        <v>0.18264840182648401</v>
      </c>
      <c r="X72" s="11">
        <f t="shared" si="13"/>
        <v>0.18264840182648401</v>
      </c>
      <c r="Y72" s="11">
        <f t="shared" si="13"/>
        <v>0.18264840182648401</v>
      </c>
      <c r="Z72" s="11">
        <f t="shared" si="13"/>
        <v>0.18264840182648401</v>
      </c>
      <c r="AA72" s="11">
        <f t="shared" si="13"/>
        <v>0.18264840182648401</v>
      </c>
      <c r="AB72" s="11">
        <f t="shared" si="13"/>
        <v>0.18264840182648401</v>
      </c>
      <c r="AC72" s="11">
        <f>+M72*$P$30</f>
        <v>0.18264840182648401</v>
      </c>
      <c r="AD72" s="11">
        <f>+N72*$P$30</f>
        <v>0.18264840182648401</v>
      </c>
    </row>
    <row r="73" spans="2:30" x14ac:dyDescent="0.2">
      <c r="B73" s="53">
        <v>0.5</v>
      </c>
      <c r="C73" s="115">
        <v>1</v>
      </c>
      <c r="D73" s="115">
        <v>1</v>
      </c>
      <c r="E73" s="115">
        <v>1</v>
      </c>
      <c r="F73" s="115">
        <v>1</v>
      </c>
      <c r="G73" s="115">
        <v>1</v>
      </c>
      <c r="H73" s="115">
        <v>1</v>
      </c>
      <c r="I73" s="115">
        <v>1</v>
      </c>
      <c r="J73" s="115">
        <v>1</v>
      </c>
      <c r="K73" s="115">
        <v>1</v>
      </c>
      <c r="L73" s="115">
        <v>1</v>
      </c>
      <c r="M73" s="115">
        <v>1</v>
      </c>
      <c r="N73" s="115">
        <v>1</v>
      </c>
      <c r="R73" s="53">
        <v>0.5</v>
      </c>
      <c r="S73" s="11">
        <f t="shared" ref="S73:T77" si="15">+C73*$P$30</f>
        <v>0.18264840182648401</v>
      </c>
      <c r="T73" s="11">
        <f t="shared" si="15"/>
        <v>0.18264840182648401</v>
      </c>
      <c r="U73" s="11">
        <f t="shared" si="14"/>
        <v>0.18264840182648401</v>
      </c>
      <c r="V73" s="11">
        <f t="shared" si="13"/>
        <v>0.18264840182648401</v>
      </c>
      <c r="W73" s="11">
        <f t="shared" si="13"/>
        <v>0.18264840182648401</v>
      </c>
      <c r="X73" s="11">
        <f t="shared" si="13"/>
        <v>0.18264840182648401</v>
      </c>
      <c r="Y73" s="11">
        <f t="shared" si="13"/>
        <v>0.18264840182648401</v>
      </c>
      <c r="Z73" s="11">
        <f t="shared" si="13"/>
        <v>0.18264840182648401</v>
      </c>
      <c r="AA73" s="11">
        <f t="shared" si="13"/>
        <v>0.18264840182648401</v>
      </c>
      <c r="AB73" s="11">
        <f t="shared" si="13"/>
        <v>0.18264840182648401</v>
      </c>
      <c r="AC73" s="11">
        <f t="shared" si="13"/>
        <v>0.18264840182648401</v>
      </c>
      <c r="AD73" s="11">
        <f t="shared" si="13"/>
        <v>0.18264840182648401</v>
      </c>
    </row>
    <row r="74" spans="2:30" x14ac:dyDescent="0.2">
      <c r="B74" s="53">
        <v>0.54166666666666696</v>
      </c>
      <c r="C74" s="115">
        <v>1</v>
      </c>
      <c r="D74" s="115">
        <v>1</v>
      </c>
      <c r="E74" s="115">
        <v>1</v>
      </c>
      <c r="F74" s="115">
        <v>1</v>
      </c>
      <c r="G74" s="115">
        <v>1</v>
      </c>
      <c r="H74" s="115">
        <v>1</v>
      </c>
      <c r="I74" s="115">
        <v>1</v>
      </c>
      <c r="J74" s="115">
        <v>1</v>
      </c>
      <c r="K74" s="115">
        <v>1</v>
      </c>
      <c r="L74" s="115">
        <v>1</v>
      </c>
      <c r="M74" s="115">
        <v>1</v>
      </c>
      <c r="N74" s="115">
        <v>1</v>
      </c>
      <c r="R74" s="53">
        <v>0.54166666666666696</v>
      </c>
      <c r="S74" s="11">
        <f t="shared" si="15"/>
        <v>0.18264840182648401</v>
      </c>
      <c r="T74" s="11">
        <f t="shared" si="15"/>
        <v>0.18264840182648401</v>
      </c>
      <c r="U74" s="11">
        <f t="shared" si="14"/>
        <v>0.18264840182648401</v>
      </c>
      <c r="V74" s="11">
        <f t="shared" si="13"/>
        <v>0.18264840182648401</v>
      </c>
      <c r="W74" s="11">
        <f t="shared" si="13"/>
        <v>0.18264840182648401</v>
      </c>
      <c r="X74" s="11">
        <f t="shared" si="13"/>
        <v>0.18264840182648401</v>
      </c>
      <c r="Y74" s="11">
        <f t="shared" si="13"/>
        <v>0.18264840182648401</v>
      </c>
      <c r="Z74" s="11">
        <f t="shared" si="13"/>
        <v>0.18264840182648401</v>
      </c>
      <c r="AA74" s="11">
        <f t="shared" si="13"/>
        <v>0.18264840182648401</v>
      </c>
      <c r="AB74" s="11">
        <f t="shared" si="13"/>
        <v>0.18264840182648401</v>
      </c>
      <c r="AC74" s="11">
        <f t="shared" si="13"/>
        <v>0.18264840182648401</v>
      </c>
      <c r="AD74" s="11">
        <f t="shared" si="13"/>
        <v>0.18264840182648401</v>
      </c>
    </row>
    <row r="75" spans="2:30" x14ac:dyDescent="0.2">
      <c r="B75" s="53">
        <v>0.58333333333333304</v>
      </c>
      <c r="C75" s="115">
        <v>1</v>
      </c>
      <c r="D75" s="115">
        <v>1</v>
      </c>
      <c r="E75" s="115">
        <v>1</v>
      </c>
      <c r="F75" s="115">
        <v>1</v>
      </c>
      <c r="G75" s="115">
        <v>1</v>
      </c>
      <c r="H75" s="115">
        <v>1</v>
      </c>
      <c r="I75" s="115">
        <v>1</v>
      </c>
      <c r="J75" s="115">
        <v>1</v>
      </c>
      <c r="K75" s="115">
        <v>1</v>
      </c>
      <c r="L75" s="115">
        <v>1</v>
      </c>
      <c r="M75" s="115">
        <v>1</v>
      </c>
      <c r="N75" s="115">
        <v>1</v>
      </c>
      <c r="R75" s="53">
        <v>0.58333333333333304</v>
      </c>
      <c r="S75" s="11">
        <f t="shared" si="15"/>
        <v>0.18264840182648401</v>
      </c>
      <c r="T75" s="11">
        <f t="shared" si="15"/>
        <v>0.18264840182648401</v>
      </c>
      <c r="U75" s="11">
        <f t="shared" si="14"/>
        <v>0.18264840182648401</v>
      </c>
      <c r="V75" s="11">
        <f t="shared" si="13"/>
        <v>0.18264840182648401</v>
      </c>
      <c r="W75" s="11">
        <f t="shared" si="13"/>
        <v>0.18264840182648401</v>
      </c>
      <c r="X75" s="11">
        <f t="shared" si="13"/>
        <v>0.18264840182648401</v>
      </c>
      <c r="Y75" s="11">
        <f t="shared" si="13"/>
        <v>0.18264840182648401</v>
      </c>
      <c r="Z75" s="11">
        <f t="shared" si="13"/>
        <v>0.18264840182648401</v>
      </c>
      <c r="AA75" s="11">
        <f t="shared" si="13"/>
        <v>0.18264840182648401</v>
      </c>
      <c r="AB75" s="11">
        <f t="shared" si="13"/>
        <v>0.18264840182648401</v>
      </c>
      <c r="AC75" s="11">
        <f t="shared" si="13"/>
        <v>0.18264840182648401</v>
      </c>
      <c r="AD75" s="11">
        <f t="shared" si="13"/>
        <v>0.18264840182648401</v>
      </c>
    </row>
    <row r="76" spans="2:30" x14ac:dyDescent="0.2">
      <c r="B76" s="53">
        <v>0.625</v>
      </c>
      <c r="C76" s="115">
        <v>1</v>
      </c>
      <c r="D76" s="115">
        <v>1</v>
      </c>
      <c r="E76" s="115">
        <v>1</v>
      </c>
      <c r="F76" s="115">
        <v>0</v>
      </c>
      <c r="G76" s="115">
        <v>0</v>
      </c>
      <c r="H76" s="115">
        <v>0</v>
      </c>
      <c r="I76" s="115">
        <v>0</v>
      </c>
      <c r="J76" s="115">
        <v>0</v>
      </c>
      <c r="K76" s="115">
        <v>0</v>
      </c>
      <c r="L76" s="115">
        <v>1</v>
      </c>
      <c r="M76" s="115">
        <v>1</v>
      </c>
      <c r="N76" s="115">
        <v>1</v>
      </c>
      <c r="R76" s="53">
        <v>0.625</v>
      </c>
      <c r="S76" s="11">
        <f t="shared" si="15"/>
        <v>0.18264840182648401</v>
      </c>
      <c r="T76" s="11">
        <f t="shared" si="15"/>
        <v>0.18264840182648401</v>
      </c>
      <c r="U76" s="11">
        <f t="shared" si="14"/>
        <v>0.18264840182648401</v>
      </c>
      <c r="V76" s="120">
        <v>0</v>
      </c>
      <c r="W76" s="120">
        <v>0</v>
      </c>
      <c r="X76" s="120">
        <v>0</v>
      </c>
      <c r="Y76" s="120">
        <v>0</v>
      </c>
      <c r="Z76" s="120">
        <v>0</v>
      </c>
      <c r="AA76" s="120">
        <v>0</v>
      </c>
      <c r="AB76" s="11">
        <f t="shared" si="13"/>
        <v>0.18264840182648401</v>
      </c>
      <c r="AC76" s="11">
        <f t="shared" si="13"/>
        <v>0.18264840182648401</v>
      </c>
      <c r="AD76" s="11">
        <f t="shared" si="13"/>
        <v>0.18264840182648401</v>
      </c>
    </row>
    <row r="77" spans="2:30" x14ac:dyDescent="0.2">
      <c r="B77" s="53">
        <v>0.66666666666666696</v>
      </c>
      <c r="C77" s="115">
        <v>1</v>
      </c>
      <c r="D77" s="115">
        <v>1</v>
      </c>
      <c r="E77" s="115">
        <v>0</v>
      </c>
      <c r="F77" s="115">
        <v>0</v>
      </c>
      <c r="G77" s="115">
        <v>0</v>
      </c>
      <c r="H77" s="115">
        <v>0</v>
      </c>
      <c r="I77" s="115">
        <v>0</v>
      </c>
      <c r="J77" s="115">
        <v>0</v>
      </c>
      <c r="K77" s="115">
        <v>0</v>
      </c>
      <c r="L77" s="115">
        <v>0</v>
      </c>
      <c r="M77" s="115">
        <v>1</v>
      </c>
      <c r="N77" s="115">
        <v>1</v>
      </c>
      <c r="R77" s="53">
        <v>0.66666666666666696</v>
      </c>
      <c r="S77" s="11">
        <f t="shared" si="15"/>
        <v>0.18264840182648401</v>
      </c>
      <c r="T77" s="11">
        <f t="shared" si="15"/>
        <v>0.18264840182648401</v>
      </c>
      <c r="U77" s="120">
        <v>0</v>
      </c>
      <c r="V77" s="120">
        <v>0</v>
      </c>
      <c r="W77" s="120">
        <v>0</v>
      </c>
      <c r="X77" s="120">
        <v>0</v>
      </c>
      <c r="Y77" s="120">
        <v>0</v>
      </c>
      <c r="Z77" s="120">
        <v>0</v>
      </c>
      <c r="AA77" s="120">
        <v>0</v>
      </c>
      <c r="AB77" s="120">
        <v>0</v>
      </c>
      <c r="AC77" s="11">
        <f t="shared" si="13"/>
        <v>0.18264840182648401</v>
      </c>
      <c r="AD77" s="11">
        <f t="shared" si="13"/>
        <v>0.18264840182648401</v>
      </c>
    </row>
    <row r="78" spans="2:30" x14ac:dyDescent="0.2">
      <c r="B78" s="53">
        <v>0.70833333333333304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  <c r="I78" s="115">
        <v>0</v>
      </c>
      <c r="J78" s="115">
        <v>0</v>
      </c>
      <c r="K78" s="115">
        <v>0</v>
      </c>
      <c r="L78" s="115">
        <v>0</v>
      </c>
      <c r="M78" s="115">
        <v>0</v>
      </c>
      <c r="N78" s="115">
        <v>0</v>
      </c>
      <c r="R78" s="53">
        <v>0.70833333333333304</v>
      </c>
      <c r="S78" s="120">
        <v>0</v>
      </c>
      <c r="T78" s="120">
        <v>0</v>
      </c>
      <c r="U78" s="120">
        <v>0</v>
      </c>
      <c r="V78" s="120">
        <v>0</v>
      </c>
      <c r="W78" s="120">
        <v>0</v>
      </c>
      <c r="X78" s="120">
        <v>0</v>
      </c>
      <c r="Y78" s="120">
        <v>0</v>
      </c>
      <c r="Z78" s="120">
        <v>0</v>
      </c>
      <c r="AA78" s="120">
        <v>0</v>
      </c>
      <c r="AB78" s="120">
        <v>0</v>
      </c>
      <c r="AC78" s="120">
        <v>0</v>
      </c>
      <c r="AD78" s="120">
        <v>0</v>
      </c>
    </row>
    <row r="79" spans="2:30" x14ac:dyDescent="0.2">
      <c r="B79" s="53">
        <v>0.75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  <c r="I79" s="115">
        <v>0</v>
      </c>
      <c r="J79" s="115">
        <v>0</v>
      </c>
      <c r="K79" s="115">
        <v>0</v>
      </c>
      <c r="L79" s="115">
        <v>0</v>
      </c>
      <c r="M79" s="115">
        <v>0</v>
      </c>
      <c r="N79" s="115">
        <v>0</v>
      </c>
      <c r="R79" s="53">
        <v>0.75</v>
      </c>
      <c r="S79" s="120">
        <v>0</v>
      </c>
      <c r="T79" s="120">
        <v>0</v>
      </c>
      <c r="U79" s="120">
        <v>0</v>
      </c>
      <c r="V79" s="120">
        <v>0</v>
      </c>
      <c r="W79" s="120">
        <v>0</v>
      </c>
      <c r="X79" s="120">
        <v>0</v>
      </c>
      <c r="Y79" s="120">
        <v>0</v>
      </c>
      <c r="Z79" s="120">
        <v>0</v>
      </c>
      <c r="AA79" s="120">
        <v>0</v>
      </c>
      <c r="AB79" s="120">
        <v>0</v>
      </c>
      <c r="AC79" s="120">
        <v>0</v>
      </c>
      <c r="AD79" s="120">
        <v>0</v>
      </c>
    </row>
    <row r="80" spans="2:30" x14ac:dyDescent="0.2">
      <c r="B80" s="53">
        <v>0.79166666666666696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0</v>
      </c>
      <c r="I80" s="115">
        <v>0</v>
      </c>
      <c r="J80" s="115">
        <v>0</v>
      </c>
      <c r="K80" s="115">
        <v>0</v>
      </c>
      <c r="L80" s="115">
        <v>0</v>
      </c>
      <c r="M80" s="115">
        <v>0</v>
      </c>
      <c r="N80" s="115">
        <v>0</v>
      </c>
      <c r="R80" s="53">
        <v>0.79166666666666696</v>
      </c>
      <c r="S80" s="120">
        <v>0</v>
      </c>
      <c r="T80" s="120">
        <v>0</v>
      </c>
      <c r="U80" s="120">
        <v>0</v>
      </c>
      <c r="V80" s="120">
        <v>0</v>
      </c>
      <c r="W80" s="120">
        <v>0</v>
      </c>
      <c r="X80" s="120">
        <v>0</v>
      </c>
      <c r="Y80" s="120">
        <v>0</v>
      </c>
      <c r="Z80" s="120">
        <v>0</v>
      </c>
      <c r="AA80" s="120">
        <v>0</v>
      </c>
      <c r="AB80" s="120">
        <v>0</v>
      </c>
      <c r="AC80" s="120">
        <v>0</v>
      </c>
      <c r="AD80" s="120">
        <v>0</v>
      </c>
    </row>
    <row r="81" spans="2:30" x14ac:dyDescent="0.2">
      <c r="B81" s="53">
        <v>0.83333333333333304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  <c r="I81" s="115">
        <v>0</v>
      </c>
      <c r="J81" s="115">
        <v>0</v>
      </c>
      <c r="K81" s="115">
        <v>0</v>
      </c>
      <c r="L81" s="115">
        <v>0</v>
      </c>
      <c r="M81" s="115">
        <v>0</v>
      </c>
      <c r="N81" s="115">
        <v>0</v>
      </c>
      <c r="R81" s="53">
        <v>0.83333333333333304</v>
      </c>
      <c r="S81" s="120">
        <v>0</v>
      </c>
      <c r="T81" s="120">
        <v>0</v>
      </c>
      <c r="U81" s="120">
        <v>0</v>
      </c>
      <c r="V81" s="120">
        <v>0</v>
      </c>
      <c r="W81" s="120">
        <v>0</v>
      </c>
      <c r="X81" s="120">
        <v>0</v>
      </c>
      <c r="Y81" s="120">
        <v>0</v>
      </c>
      <c r="Z81" s="120">
        <v>0</v>
      </c>
      <c r="AA81" s="120">
        <v>0</v>
      </c>
      <c r="AB81" s="120">
        <v>0</v>
      </c>
      <c r="AC81" s="120">
        <v>0</v>
      </c>
      <c r="AD81" s="120">
        <v>0</v>
      </c>
    </row>
    <row r="82" spans="2:30" x14ac:dyDescent="0.2">
      <c r="B82" s="53">
        <v>0.875</v>
      </c>
      <c r="C82" s="115">
        <v>0</v>
      </c>
      <c r="D82" s="115">
        <v>0</v>
      </c>
      <c r="E82" s="115">
        <v>0</v>
      </c>
      <c r="F82" s="115">
        <v>0</v>
      </c>
      <c r="G82" s="115">
        <v>0</v>
      </c>
      <c r="H82" s="115">
        <v>0</v>
      </c>
      <c r="I82" s="115">
        <v>0</v>
      </c>
      <c r="J82" s="115">
        <v>0</v>
      </c>
      <c r="K82" s="115">
        <v>0</v>
      </c>
      <c r="L82" s="115">
        <v>0</v>
      </c>
      <c r="M82" s="115">
        <v>0</v>
      </c>
      <c r="N82" s="115">
        <v>0</v>
      </c>
      <c r="R82" s="53">
        <v>0.875</v>
      </c>
      <c r="S82" s="120">
        <v>0</v>
      </c>
      <c r="T82" s="120">
        <v>0</v>
      </c>
      <c r="U82" s="120">
        <v>0</v>
      </c>
      <c r="V82" s="120">
        <v>0</v>
      </c>
      <c r="W82" s="120">
        <v>0</v>
      </c>
      <c r="X82" s="120">
        <v>0</v>
      </c>
      <c r="Y82" s="120">
        <v>0</v>
      </c>
      <c r="Z82" s="120">
        <v>0</v>
      </c>
      <c r="AA82" s="120">
        <v>0</v>
      </c>
      <c r="AB82" s="120">
        <v>0</v>
      </c>
      <c r="AC82" s="120">
        <v>0</v>
      </c>
      <c r="AD82" s="120">
        <v>0</v>
      </c>
    </row>
    <row r="83" spans="2:30" x14ac:dyDescent="0.2">
      <c r="B83" s="53">
        <v>0.91666666666666696</v>
      </c>
      <c r="C83" s="115">
        <v>0</v>
      </c>
      <c r="D83" s="115">
        <v>0</v>
      </c>
      <c r="E83" s="115">
        <v>0</v>
      </c>
      <c r="F83" s="115">
        <v>0</v>
      </c>
      <c r="G83" s="115">
        <v>0</v>
      </c>
      <c r="H83" s="115">
        <v>0</v>
      </c>
      <c r="I83" s="115">
        <v>0</v>
      </c>
      <c r="J83" s="115">
        <v>0</v>
      </c>
      <c r="K83" s="115">
        <v>0</v>
      </c>
      <c r="L83" s="115">
        <v>0</v>
      </c>
      <c r="M83" s="115">
        <v>0</v>
      </c>
      <c r="N83" s="115">
        <v>0</v>
      </c>
      <c r="R83" s="53">
        <v>0.91666666666666696</v>
      </c>
      <c r="S83" s="120">
        <v>0</v>
      </c>
      <c r="T83" s="120">
        <v>0</v>
      </c>
      <c r="U83" s="120">
        <v>0</v>
      </c>
      <c r="V83" s="120">
        <v>0</v>
      </c>
      <c r="W83" s="120">
        <v>0</v>
      </c>
      <c r="X83" s="120">
        <v>0</v>
      </c>
      <c r="Y83" s="120">
        <v>0</v>
      </c>
      <c r="Z83" s="120">
        <v>0</v>
      </c>
      <c r="AA83" s="120">
        <v>0</v>
      </c>
      <c r="AB83" s="120">
        <v>0</v>
      </c>
      <c r="AC83" s="120">
        <v>0</v>
      </c>
      <c r="AD83" s="120">
        <v>0</v>
      </c>
    </row>
    <row r="84" spans="2:30" x14ac:dyDescent="0.2">
      <c r="B84" s="53">
        <v>0.95833333333333304</v>
      </c>
      <c r="C84" s="115">
        <v>0</v>
      </c>
      <c r="D84" s="115">
        <v>0</v>
      </c>
      <c r="E84" s="115">
        <v>0</v>
      </c>
      <c r="F84" s="115">
        <v>0</v>
      </c>
      <c r="G84" s="115">
        <v>0</v>
      </c>
      <c r="H84" s="115">
        <v>0</v>
      </c>
      <c r="I84" s="115">
        <v>0</v>
      </c>
      <c r="J84" s="115">
        <v>0</v>
      </c>
      <c r="K84" s="115">
        <v>0</v>
      </c>
      <c r="L84" s="115">
        <v>0</v>
      </c>
      <c r="M84" s="115">
        <v>0</v>
      </c>
      <c r="N84" s="115">
        <v>0</v>
      </c>
      <c r="R84" s="53">
        <v>0.95833333333333304</v>
      </c>
      <c r="S84" s="120">
        <v>0</v>
      </c>
      <c r="T84" s="120">
        <v>0</v>
      </c>
      <c r="U84" s="120">
        <v>0</v>
      </c>
      <c r="V84" s="120">
        <v>0</v>
      </c>
      <c r="W84" s="120">
        <v>0</v>
      </c>
      <c r="X84" s="120">
        <v>0</v>
      </c>
      <c r="Y84" s="120">
        <v>0</v>
      </c>
      <c r="Z84" s="120">
        <v>0</v>
      </c>
      <c r="AA84" s="120">
        <v>0</v>
      </c>
      <c r="AB84" s="120">
        <v>0</v>
      </c>
      <c r="AC84" s="120">
        <v>0</v>
      </c>
      <c r="AD84" s="120">
        <v>0</v>
      </c>
    </row>
    <row r="85" spans="2:30" x14ac:dyDescent="0.2">
      <c r="C85" s="51">
        <f>SUM(C61:C84)</f>
        <v>6</v>
      </c>
      <c r="D85" s="63">
        <f t="shared" ref="D85:N85" si="16">SUM(D61:D84)</f>
        <v>6</v>
      </c>
      <c r="E85" s="63">
        <f t="shared" si="16"/>
        <v>6</v>
      </c>
      <c r="F85" s="63">
        <f t="shared" si="16"/>
        <v>6</v>
      </c>
      <c r="G85" s="63">
        <f t="shared" si="16"/>
        <v>6</v>
      </c>
      <c r="H85" s="63">
        <f t="shared" si="16"/>
        <v>6</v>
      </c>
      <c r="I85" s="63">
        <f t="shared" si="16"/>
        <v>6</v>
      </c>
      <c r="J85" s="63">
        <f t="shared" si="16"/>
        <v>6</v>
      </c>
      <c r="K85" s="63">
        <f t="shared" si="16"/>
        <v>6</v>
      </c>
      <c r="L85" s="63">
        <f t="shared" si="16"/>
        <v>6</v>
      </c>
      <c r="M85" s="63">
        <f t="shared" si="16"/>
        <v>6</v>
      </c>
      <c r="N85" s="63">
        <f t="shared" si="16"/>
        <v>6</v>
      </c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AD85" s="120"/>
    </row>
    <row r="86" spans="2:30" x14ac:dyDescent="0.2"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</row>
    <row r="87" spans="2:30" x14ac:dyDescent="0.2">
      <c r="B87">
        <v>4</v>
      </c>
      <c r="C87" s="108"/>
      <c r="R87">
        <v>4</v>
      </c>
    </row>
    <row r="88" spans="2:30" x14ac:dyDescent="0.2">
      <c r="C88" s="108"/>
    </row>
    <row r="89" spans="2:30" x14ac:dyDescent="0.2">
      <c r="B89" s="53">
        <v>0</v>
      </c>
      <c r="C89" s="115">
        <v>0</v>
      </c>
      <c r="D89" s="115">
        <v>0</v>
      </c>
      <c r="E89" s="115">
        <v>0</v>
      </c>
      <c r="F89" s="115">
        <v>0</v>
      </c>
      <c r="G89" s="115">
        <v>0</v>
      </c>
      <c r="H89" s="115">
        <v>0</v>
      </c>
      <c r="I89" s="115">
        <v>0</v>
      </c>
      <c r="J89" s="115">
        <v>0</v>
      </c>
      <c r="K89" s="115">
        <v>0</v>
      </c>
      <c r="L89" s="115">
        <v>0</v>
      </c>
      <c r="M89" s="115">
        <v>0</v>
      </c>
      <c r="N89" s="115">
        <v>0</v>
      </c>
      <c r="R89" s="53">
        <v>0</v>
      </c>
      <c r="S89" s="120">
        <v>0</v>
      </c>
      <c r="T89" s="120">
        <v>0</v>
      </c>
      <c r="U89" s="120">
        <v>0</v>
      </c>
      <c r="V89" s="120">
        <v>0</v>
      </c>
      <c r="W89" s="120">
        <v>0</v>
      </c>
      <c r="X89" s="120">
        <v>0</v>
      </c>
      <c r="Y89" s="120">
        <v>0</v>
      </c>
      <c r="Z89" s="120">
        <v>0</v>
      </c>
      <c r="AA89" s="120">
        <v>0</v>
      </c>
      <c r="AB89" s="120">
        <v>0</v>
      </c>
      <c r="AC89" s="120">
        <v>0</v>
      </c>
      <c r="AD89" s="120">
        <v>0</v>
      </c>
    </row>
    <row r="90" spans="2:30" x14ac:dyDescent="0.2">
      <c r="B90" s="53">
        <v>4.1666666666666664E-2</v>
      </c>
      <c r="C90" s="115">
        <v>0</v>
      </c>
      <c r="D90" s="115">
        <v>0</v>
      </c>
      <c r="E90" s="115">
        <v>0</v>
      </c>
      <c r="F90" s="115">
        <v>0</v>
      </c>
      <c r="G90" s="115">
        <v>0</v>
      </c>
      <c r="H90" s="115">
        <v>0</v>
      </c>
      <c r="I90" s="115">
        <v>0</v>
      </c>
      <c r="J90" s="115">
        <v>0</v>
      </c>
      <c r="K90" s="115">
        <v>0</v>
      </c>
      <c r="L90" s="115">
        <v>0</v>
      </c>
      <c r="M90" s="115">
        <v>0</v>
      </c>
      <c r="N90" s="115">
        <v>0</v>
      </c>
      <c r="R90" s="53">
        <v>4.1666666666666664E-2</v>
      </c>
      <c r="S90" s="120">
        <v>0</v>
      </c>
      <c r="T90" s="120">
        <v>0</v>
      </c>
      <c r="U90" s="120">
        <v>0</v>
      </c>
      <c r="V90" s="120">
        <v>0</v>
      </c>
      <c r="W90" s="120">
        <v>0</v>
      </c>
      <c r="X90" s="120">
        <v>0</v>
      </c>
      <c r="Y90" s="120">
        <v>0</v>
      </c>
      <c r="Z90" s="120">
        <v>0</v>
      </c>
      <c r="AA90" s="120">
        <v>0</v>
      </c>
      <c r="AB90" s="120">
        <v>0</v>
      </c>
      <c r="AC90" s="120">
        <v>0</v>
      </c>
      <c r="AD90" s="120">
        <v>0</v>
      </c>
    </row>
    <row r="91" spans="2:30" x14ac:dyDescent="0.2">
      <c r="B91" s="53">
        <v>8.3333333333333301E-2</v>
      </c>
      <c r="C91" s="115">
        <v>0</v>
      </c>
      <c r="D91" s="115">
        <v>0</v>
      </c>
      <c r="E91" s="115">
        <v>0</v>
      </c>
      <c r="F91" s="115">
        <v>0</v>
      </c>
      <c r="G91" s="115">
        <v>0</v>
      </c>
      <c r="H91" s="115">
        <v>0</v>
      </c>
      <c r="I91" s="115">
        <v>0</v>
      </c>
      <c r="J91" s="115">
        <v>0</v>
      </c>
      <c r="K91" s="115">
        <v>0</v>
      </c>
      <c r="L91" s="115">
        <v>0</v>
      </c>
      <c r="M91" s="115">
        <v>0</v>
      </c>
      <c r="N91" s="115">
        <v>0</v>
      </c>
      <c r="R91" s="53">
        <v>8.3333333333333301E-2</v>
      </c>
      <c r="S91" s="120">
        <v>0</v>
      </c>
      <c r="T91" s="120">
        <v>0</v>
      </c>
      <c r="U91" s="120">
        <v>0</v>
      </c>
      <c r="V91" s="120">
        <v>0</v>
      </c>
      <c r="W91" s="120">
        <v>0</v>
      </c>
      <c r="X91" s="120">
        <v>0</v>
      </c>
      <c r="Y91" s="120">
        <v>0</v>
      </c>
      <c r="Z91" s="120">
        <v>0</v>
      </c>
      <c r="AA91" s="120">
        <v>0</v>
      </c>
      <c r="AB91" s="120">
        <v>0</v>
      </c>
      <c r="AC91" s="120">
        <v>0</v>
      </c>
      <c r="AD91" s="120">
        <v>0</v>
      </c>
    </row>
    <row r="92" spans="2:30" x14ac:dyDescent="0.2">
      <c r="B92" s="53">
        <v>0.125</v>
      </c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  <c r="I92" s="115">
        <v>0</v>
      </c>
      <c r="J92" s="115">
        <v>0</v>
      </c>
      <c r="K92" s="115">
        <v>0</v>
      </c>
      <c r="L92" s="115">
        <v>0</v>
      </c>
      <c r="M92" s="115">
        <v>0</v>
      </c>
      <c r="N92" s="115">
        <v>0</v>
      </c>
      <c r="R92" s="53">
        <v>0.125</v>
      </c>
      <c r="S92" s="120">
        <v>0</v>
      </c>
      <c r="T92" s="120">
        <v>0</v>
      </c>
      <c r="U92" s="120">
        <v>0</v>
      </c>
      <c r="V92" s="120">
        <v>0</v>
      </c>
      <c r="W92" s="120">
        <v>0</v>
      </c>
      <c r="X92" s="120">
        <v>0</v>
      </c>
      <c r="Y92" s="120">
        <v>0</v>
      </c>
      <c r="Z92" s="120">
        <v>0</v>
      </c>
      <c r="AA92" s="120">
        <v>0</v>
      </c>
      <c r="AB92" s="120">
        <v>0</v>
      </c>
      <c r="AC92" s="120">
        <v>0</v>
      </c>
      <c r="AD92" s="120">
        <v>0</v>
      </c>
    </row>
    <row r="93" spans="2:30" x14ac:dyDescent="0.2">
      <c r="B93" s="53">
        <v>0.16666666666666699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  <c r="I93" s="115">
        <v>0</v>
      </c>
      <c r="J93" s="115">
        <v>0</v>
      </c>
      <c r="K93" s="115">
        <v>0</v>
      </c>
      <c r="L93" s="115">
        <v>0</v>
      </c>
      <c r="M93" s="115">
        <v>0</v>
      </c>
      <c r="N93" s="115">
        <v>0</v>
      </c>
      <c r="R93" s="53">
        <v>0.16666666666666699</v>
      </c>
      <c r="S93" s="120">
        <v>0</v>
      </c>
      <c r="T93" s="120">
        <v>0</v>
      </c>
      <c r="U93" s="120">
        <v>0</v>
      </c>
      <c r="V93" s="120">
        <v>0</v>
      </c>
      <c r="W93" s="120">
        <v>0</v>
      </c>
      <c r="X93" s="120">
        <v>0</v>
      </c>
      <c r="Y93" s="120">
        <v>0</v>
      </c>
      <c r="Z93" s="120">
        <v>0</v>
      </c>
      <c r="AA93" s="120">
        <v>0</v>
      </c>
      <c r="AB93" s="120">
        <v>0</v>
      </c>
      <c r="AC93" s="120">
        <v>0</v>
      </c>
      <c r="AD93" s="120">
        <v>0</v>
      </c>
    </row>
    <row r="94" spans="2:30" x14ac:dyDescent="0.2">
      <c r="B94" s="53">
        <v>0.20833333333333301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  <c r="I94" s="115">
        <v>0</v>
      </c>
      <c r="J94" s="115">
        <v>0</v>
      </c>
      <c r="K94" s="115">
        <v>0</v>
      </c>
      <c r="L94" s="115">
        <v>0</v>
      </c>
      <c r="M94" s="115">
        <v>0</v>
      </c>
      <c r="N94" s="115">
        <v>0</v>
      </c>
      <c r="R94" s="53">
        <v>0.20833333333333301</v>
      </c>
      <c r="S94" s="120">
        <v>0</v>
      </c>
      <c r="T94" s="120">
        <v>0</v>
      </c>
      <c r="U94" s="120">
        <v>0</v>
      </c>
      <c r="V94" s="120">
        <v>0</v>
      </c>
      <c r="W94" s="120">
        <v>0</v>
      </c>
      <c r="X94" s="120">
        <v>0</v>
      </c>
      <c r="Y94" s="120">
        <v>0</v>
      </c>
      <c r="Z94" s="120">
        <v>0</v>
      </c>
      <c r="AA94" s="120">
        <v>0</v>
      </c>
      <c r="AB94" s="120">
        <v>0</v>
      </c>
      <c r="AC94" s="120">
        <v>0</v>
      </c>
      <c r="AD94" s="120">
        <v>0</v>
      </c>
    </row>
    <row r="95" spans="2:30" x14ac:dyDescent="0.2">
      <c r="B95" s="53">
        <v>0.25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  <c r="I95" s="115">
        <v>0</v>
      </c>
      <c r="J95" s="115">
        <v>0</v>
      </c>
      <c r="K95" s="115">
        <v>0</v>
      </c>
      <c r="L95" s="115">
        <v>0</v>
      </c>
      <c r="M95" s="115">
        <v>0</v>
      </c>
      <c r="N95" s="115">
        <v>0</v>
      </c>
      <c r="R95" s="53">
        <v>0.25</v>
      </c>
      <c r="S95" s="120">
        <v>0</v>
      </c>
      <c r="T95" s="120">
        <v>0</v>
      </c>
      <c r="U95" s="120">
        <v>0</v>
      </c>
      <c r="V95" s="120">
        <v>0</v>
      </c>
      <c r="W95" s="120">
        <v>0</v>
      </c>
      <c r="X95" s="120">
        <v>0</v>
      </c>
      <c r="Y95" s="120">
        <v>0</v>
      </c>
      <c r="Z95" s="120">
        <v>0</v>
      </c>
      <c r="AA95" s="120">
        <v>0</v>
      </c>
      <c r="AB95" s="120">
        <v>0</v>
      </c>
      <c r="AC95" s="120">
        <v>0</v>
      </c>
      <c r="AD95" s="120">
        <v>0</v>
      </c>
    </row>
    <row r="96" spans="2:30" x14ac:dyDescent="0.2">
      <c r="B96" s="53">
        <v>0.29166666666666702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  <c r="I96" s="115">
        <v>0</v>
      </c>
      <c r="J96" s="115">
        <v>0</v>
      </c>
      <c r="K96" s="115">
        <v>0</v>
      </c>
      <c r="L96" s="115">
        <v>0</v>
      </c>
      <c r="M96" s="115">
        <v>0</v>
      </c>
      <c r="N96" s="115">
        <v>0</v>
      </c>
      <c r="R96" s="53">
        <v>0.29166666666666702</v>
      </c>
      <c r="S96" s="120">
        <v>0</v>
      </c>
      <c r="T96" s="120">
        <v>0</v>
      </c>
      <c r="U96" s="120">
        <v>0</v>
      </c>
      <c r="V96" s="120">
        <v>0</v>
      </c>
      <c r="W96" s="120">
        <v>0</v>
      </c>
      <c r="X96" s="120">
        <v>0</v>
      </c>
      <c r="Y96" s="120">
        <v>0</v>
      </c>
      <c r="Z96" s="120">
        <v>0</v>
      </c>
      <c r="AA96" s="120">
        <v>0</v>
      </c>
      <c r="AB96" s="120">
        <v>0</v>
      </c>
      <c r="AC96" s="120">
        <v>0</v>
      </c>
      <c r="AD96" s="120">
        <v>0</v>
      </c>
    </row>
    <row r="97" spans="2:30" x14ac:dyDescent="0.2">
      <c r="B97" s="53">
        <v>0.33333333333333298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  <c r="I97" s="115">
        <v>0</v>
      </c>
      <c r="J97" s="115">
        <v>0</v>
      </c>
      <c r="K97" s="115">
        <v>0</v>
      </c>
      <c r="L97" s="115">
        <v>0</v>
      </c>
      <c r="M97" s="115">
        <v>0</v>
      </c>
      <c r="N97" s="115">
        <v>0</v>
      </c>
      <c r="R97" s="53">
        <v>0.33333333333333298</v>
      </c>
      <c r="S97" s="120">
        <v>0</v>
      </c>
      <c r="T97" s="120">
        <v>0</v>
      </c>
      <c r="U97" s="120">
        <v>0</v>
      </c>
      <c r="V97" s="120">
        <v>0</v>
      </c>
      <c r="W97" s="120">
        <v>0</v>
      </c>
      <c r="X97" s="120">
        <v>0</v>
      </c>
      <c r="Y97" s="120">
        <v>0</v>
      </c>
      <c r="Z97" s="120">
        <v>0</v>
      </c>
      <c r="AA97" s="120">
        <v>0</v>
      </c>
      <c r="AB97" s="120">
        <v>0</v>
      </c>
      <c r="AC97" s="120">
        <v>0</v>
      </c>
      <c r="AD97" s="120">
        <v>0</v>
      </c>
    </row>
    <row r="98" spans="2:30" x14ac:dyDescent="0.2">
      <c r="B98" s="53">
        <v>0.375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  <c r="I98" s="115">
        <v>0</v>
      </c>
      <c r="J98" s="115">
        <v>0</v>
      </c>
      <c r="K98" s="115">
        <v>0</v>
      </c>
      <c r="L98" s="115">
        <v>0</v>
      </c>
      <c r="M98" s="115">
        <v>0</v>
      </c>
      <c r="N98" s="115">
        <v>0</v>
      </c>
      <c r="R98" s="53">
        <v>0.375</v>
      </c>
      <c r="S98" s="120">
        <v>0</v>
      </c>
      <c r="T98" s="120">
        <v>0</v>
      </c>
      <c r="U98" s="120">
        <v>0</v>
      </c>
      <c r="V98" s="120">
        <v>0</v>
      </c>
      <c r="W98" s="120">
        <v>0</v>
      </c>
      <c r="X98" s="120">
        <v>0</v>
      </c>
      <c r="Y98" s="120">
        <v>0</v>
      </c>
      <c r="Z98" s="120">
        <v>0</v>
      </c>
      <c r="AA98" s="120">
        <v>0</v>
      </c>
      <c r="AB98" s="120">
        <v>0</v>
      </c>
      <c r="AC98" s="120">
        <v>0</v>
      </c>
      <c r="AD98" s="120">
        <v>0</v>
      </c>
    </row>
    <row r="99" spans="2:30" x14ac:dyDescent="0.2">
      <c r="B99" s="53">
        <v>0.41666666666666702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  <c r="I99" s="115">
        <v>0</v>
      </c>
      <c r="J99" s="115">
        <v>0</v>
      </c>
      <c r="K99" s="115">
        <v>0</v>
      </c>
      <c r="L99" s="115">
        <v>0</v>
      </c>
      <c r="M99" s="115">
        <v>0</v>
      </c>
      <c r="N99" s="115">
        <v>0</v>
      </c>
      <c r="R99" s="53">
        <v>0.41666666666666702</v>
      </c>
      <c r="S99" s="120">
        <v>0</v>
      </c>
      <c r="T99" s="120">
        <v>0</v>
      </c>
      <c r="U99" s="120">
        <v>0</v>
      </c>
      <c r="V99" s="120">
        <v>0</v>
      </c>
      <c r="W99" s="120">
        <v>0</v>
      </c>
      <c r="X99" s="120">
        <v>0</v>
      </c>
      <c r="Y99" s="120">
        <v>0</v>
      </c>
      <c r="Z99" s="120">
        <v>0</v>
      </c>
      <c r="AA99" s="120">
        <v>0</v>
      </c>
      <c r="AB99" s="120">
        <v>0</v>
      </c>
      <c r="AC99" s="120">
        <v>0</v>
      </c>
      <c r="AD99" s="120">
        <v>0</v>
      </c>
    </row>
    <row r="100" spans="2:30" x14ac:dyDescent="0.2">
      <c r="B100" s="53">
        <v>0.45833333333333298</v>
      </c>
      <c r="C100" s="115">
        <v>1</v>
      </c>
      <c r="D100" s="115">
        <v>1</v>
      </c>
      <c r="E100" s="115">
        <v>0</v>
      </c>
      <c r="F100" s="115">
        <v>1</v>
      </c>
      <c r="G100" s="115">
        <v>1</v>
      </c>
      <c r="H100" s="115">
        <v>1</v>
      </c>
      <c r="I100" s="115">
        <v>1</v>
      </c>
      <c r="J100" s="115">
        <v>1</v>
      </c>
      <c r="K100" s="115">
        <v>1</v>
      </c>
      <c r="L100" s="115">
        <v>0</v>
      </c>
      <c r="M100" s="115">
        <v>1</v>
      </c>
      <c r="N100" s="115">
        <v>1</v>
      </c>
      <c r="R100" s="53">
        <v>0.45833333333333298</v>
      </c>
      <c r="S100" s="11">
        <f>+C100*$P$30</f>
        <v>0.18264840182648401</v>
      </c>
      <c r="T100" s="11">
        <f>+D100*$P$30</f>
        <v>0.18264840182648401</v>
      </c>
      <c r="U100" s="120">
        <v>0</v>
      </c>
      <c r="V100" s="11">
        <f t="shared" ref="V100:AB106" si="17">+F100*$P$30</f>
        <v>0.18264840182648401</v>
      </c>
      <c r="W100" s="11">
        <f t="shared" si="17"/>
        <v>0.18264840182648401</v>
      </c>
      <c r="X100" s="11">
        <f t="shared" si="17"/>
        <v>0.18264840182648401</v>
      </c>
      <c r="Y100" s="11">
        <f t="shared" si="17"/>
        <v>0.18264840182648401</v>
      </c>
      <c r="Z100" s="11">
        <f t="shared" si="17"/>
        <v>0.18264840182648401</v>
      </c>
      <c r="AA100" s="11">
        <f t="shared" si="17"/>
        <v>0.18264840182648401</v>
      </c>
      <c r="AB100" s="120">
        <v>0</v>
      </c>
      <c r="AC100" s="11">
        <f>+M100*$P$30</f>
        <v>0.18264840182648401</v>
      </c>
      <c r="AD100" s="11">
        <f>+N100*$P$30</f>
        <v>0.18264840182648401</v>
      </c>
    </row>
    <row r="101" spans="2:30" x14ac:dyDescent="0.2">
      <c r="B101" s="53">
        <v>0.5</v>
      </c>
      <c r="C101" s="115">
        <v>1</v>
      </c>
      <c r="D101" s="115">
        <v>1</v>
      </c>
      <c r="E101" s="115">
        <v>1</v>
      </c>
      <c r="F101" s="115">
        <v>1</v>
      </c>
      <c r="G101" s="115">
        <v>1</v>
      </c>
      <c r="H101" s="115">
        <v>1</v>
      </c>
      <c r="I101" s="115">
        <v>1</v>
      </c>
      <c r="J101" s="115">
        <v>1</v>
      </c>
      <c r="K101" s="115">
        <v>1</v>
      </c>
      <c r="L101" s="115">
        <v>1</v>
      </c>
      <c r="M101" s="115">
        <v>1</v>
      </c>
      <c r="N101" s="115">
        <v>1</v>
      </c>
      <c r="R101" s="53">
        <v>0.5</v>
      </c>
      <c r="S101" s="11">
        <f t="shared" ref="S101:U106" si="18">+C101*$P$30</f>
        <v>0.18264840182648401</v>
      </c>
      <c r="T101" s="11">
        <f t="shared" si="18"/>
        <v>0.18264840182648401</v>
      </c>
      <c r="U101" s="11">
        <f>+E101*$P$30</f>
        <v>0.18264840182648401</v>
      </c>
      <c r="V101" s="11">
        <f t="shared" si="17"/>
        <v>0.18264840182648401</v>
      </c>
      <c r="W101" s="11">
        <f t="shared" si="17"/>
        <v>0.18264840182648401</v>
      </c>
      <c r="X101" s="11">
        <f t="shared" si="17"/>
        <v>0.18264840182648401</v>
      </c>
      <c r="Y101" s="11">
        <f t="shared" si="17"/>
        <v>0.18264840182648401</v>
      </c>
      <c r="Z101" s="11">
        <f t="shared" si="17"/>
        <v>0.18264840182648401</v>
      </c>
      <c r="AA101" s="11">
        <f t="shared" si="17"/>
        <v>0.18264840182648401</v>
      </c>
      <c r="AB101" s="11">
        <f>+L101*$P$30</f>
        <v>0.18264840182648401</v>
      </c>
      <c r="AC101" s="11">
        <f t="shared" ref="AC101:AD105" si="19">+M101*$P$30</f>
        <v>0.18264840182648401</v>
      </c>
      <c r="AD101" s="11">
        <f t="shared" si="19"/>
        <v>0.18264840182648401</v>
      </c>
    </row>
    <row r="102" spans="2:30" x14ac:dyDescent="0.2">
      <c r="B102" s="53">
        <v>0.54166666666666696</v>
      </c>
      <c r="C102" s="115">
        <v>1</v>
      </c>
      <c r="D102" s="115">
        <v>1</v>
      </c>
      <c r="E102" s="115">
        <v>1</v>
      </c>
      <c r="F102" s="115">
        <v>1</v>
      </c>
      <c r="G102" s="115">
        <v>1</v>
      </c>
      <c r="H102" s="115">
        <v>1</v>
      </c>
      <c r="I102" s="115">
        <v>1</v>
      </c>
      <c r="J102" s="115">
        <v>1</v>
      </c>
      <c r="K102" s="115">
        <v>1</v>
      </c>
      <c r="L102" s="115">
        <v>1</v>
      </c>
      <c r="M102" s="115">
        <v>1</v>
      </c>
      <c r="N102" s="115">
        <v>1</v>
      </c>
      <c r="R102" s="53">
        <v>0.54166666666666696</v>
      </c>
      <c r="S102" s="11">
        <f t="shared" si="18"/>
        <v>0.18264840182648401</v>
      </c>
      <c r="T102" s="11">
        <f t="shared" si="18"/>
        <v>0.18264840182648401</v>
      </c>
      <c r="U102" s="11">
        <f t="shared" si="18"/>
        <v>0.18264840182648401</v>
      </c>
      <c r="V102" s="11">
        <f t="shared" si="17"/>
        <v>0.18264840182648401</v>
      </c>
      <c r="W102" s="11">
        <f t="shared" si="17"/>
        <v>0.18264840182648401</v>
      </c>
      <c r="X102" s="11">
        <f t="shared" si="17"/>
        <v>0.18264840182648401</v>
      </c>
      <c r="Y102" s="11">
        <f t="shared" si="17"/>
        <v>0.18264840182648401</v>
      </c>
      <c r="Z102" s="11">
        <f t="shared" si="17"/>
        <v>0.18264840182648401</v>
      </c>
      <c r="AA102" s="11">
        <f t="shared" si="17"/>
        <v>0.18264840182648401</v>
      </c>
      <c r="AB102" s="11">
        <f t="shared" si="17"/>
        <v>0.18264840182648401</v>
      </c>
      <c r="AC102" s="11">
        <f t="shared" si="19"/>
        <v>0.18264840182648401</v>
      </c>
      <c r="AD102" s="11">
        <f t="shared" si="19"/>
        <v>0.18264840182648401</v>
      </c>
    </row>
    <row r="103" spans="2:30" x14ac:dyDescent="0.2">
      <c r="B103" s="53">
        <v>0.58333333333333304</v>
      </c>
      <c r="C103" s="115">
        <v>1</v>
      </c>
      <c r="D103" s="115">
        <v>1</v>
      </c>
      <c r="E103" s="115">
        <v>1</v>
      </c>
      <c r="F103" s="115">
        <v>1</v>
      </c>
      <c r="G103" s="115">
        <v>1</v>
      </c>
      <c r="H103" s="115">
        <v>1</v>
      </c>
      <c r="I103" s="115">
        <v>1</v>
      </c>
      <c r="J103" s="115">
        <v>1</v>
      </c>
      <c r="K103" s="115">
        <v>1</v>
      </c>
      <c r="L103" s="115">
        <v>1</v>
      </c>
      <c r="M103" s="115">
        <v>1</v>
      </c>
      <c r="N103" s="115">
        <v>1</v>
      </c>
      <c r="R103" s="53">
        <v>0.58333333333333304</v>
      </c>
      <c r="S103" s="11">
        <f t="shared" si="18"/>
        <v>0.18264840182648401</v>
      </c>
      <c r="T103" s="11">
        <f t="shared" si="18"/>
        <v>0.18264840182648401</v>
      </c>
      <c r="U103" s="11">
        <f t="shared" si="18"/>
        <v>0.18264840182648401</v>
      </c>
      <c r="V103" s="11">
        <f t="shared" si="17"/>
        <v>0.18264840182648401</v>
      </c>
      <c r="W103" s="11">
        <f t="shared" si="17"/>
        <v>0.18264840182648401</v>
      </c>
      <c r="X103" s="11">
        <f t="shared" si="17"/>
        <v>0.18264840182648401</v>
      </c>
      <c r="Y103" s="11">
        <f t="shared" si="17"/>
        <v>0.18264840182648401</v>
      </c>
      <c r="Z103" s="11">
        <f t="shared" si="17"/>
        <v>0.18264840182648401</v>
      </c>
      <c r="AA103" s="11">
        <f t="shared" si="17"/>
        <v>0.18264840182648401</v>
      </c>
      <c r="AB103" s="11">
        <f t="shared" si="17"/>
        <v>0.18264840182648401</v>
      </c>
      <c r="AC103" s="11">
        <f t="shared" si="19"/>
        <v>0.18264840182648401</v>
      </c>
      <c r="AD103" s="11">
        <f t="shared" si="19"/>
        <v>0.18264840182648401</v>
      </c>
    </row>
    <row r="104" spans="2:30" x14ac:dyDescent="0.2">
      <c r="B104" s="53">
        <v>0.625</v>
      </c>
      <c r="C104" s="115">
        <v>1</v>
      </c>
      <c r="D104" s="115">
        <v>1</v>
      </c>
      <c r="E104" s="115">
        <v>1</v>
      </c>
      <c r="F104" s="115">
        <v>1</v>
      </c>
      <c r="G104" s="115">
        <v>1</v>
      </c>
      <c r="H104" s="115">
        <v>1</v>
      </c>
      <c r="I104" s="115">
        <v>1</v>
      </c>
      <c r="J104" s="115">
        <v>1</v>
      </c>
      <c r="K104" s="115">
        <v>1</v>
      </c>
      <c r="L104" s="115">
        <v>1</v>
      </c>
      <c r="M104" s="115">
        <v>1</v>
      </c>
      <c r="N104" s="115">
        <v>1</v>
      </c>
      <c r="R104" s="53">
        <v>0.625</v>
      </c>
      <c r="S104" s="11">
        <f t="shared" si="18"/>
        <v>0.18264840182648401</v>
      </c>
      <c r="T104" s="11">
        <f t="shared" si="18"/>
        <v>0.18264840182648401</v>
      </c>
      <c r="U104" s="11">
        <f t="shared" si="18"/>
        <v>0.18264840182648401</v>
      </c>
      <c r="V104" s="11">
        <f t="shared" si="17"/>
        <v>0.18264840182648401</v>
      </c>
      <c r="W104" s="11">
        <f t="shared" si="17"/>
        <v>0.18264840182648401</v>
      </c>
      <c r="X104" s="11">
        <f t="shared" si="17"/>
        <v>0.18264840182648401</v>
      </c>
      <c r="Y104" s="11">
        <f t="shared" si="17"/>
        <v>0.18264840182648401</v>
      </c>
      <c r="Z104" s="11">
        <f t="shared" si="17"/>
        <v>0.18264840182648401</v>
      </c>
      <c r="AA104" s="11">
        <f t="shared" si="17"/>
        <v>0.18264840182648401</v>
      </c>
      <c r="AB104" s="11">
        <f t="shared" si="17"/>
        <v>0.18264840182648401</v>
      </c>
      <c r="AC104" s="11">
        <f t="shared" si="19"/>
        <v>0.18264840182648401</v>
      </c>
      <c r="AD104" s="11">
        <f t="shared" si="19"/>
        <v>0.18264840182648401</v>
      </c>
    </row>
    <row r="105" spans="2:30" x14ac:dyDescent="0.2">
      <c r="B105" s="53">
        <v>0.66666666666666696</v>
      </c>
      <c r="C105" s="115">
        <v>1</v>
      </c>
      <c r="D105" s="115">
        <v>1</v>
      </c>
      <c r="E105" s="115">
        <v>1</v>
      </c>
      <c r="F105" s="115">
        <v>1</v>
      </c>
      <c r="G105" s="115">
        <v>1</v>
      </c>
      <c r="H105" s="115">
        <v>1</v>
      </c>
      <c r="I105" s="115">
        <v>1</v>
      </c>
      <c r="J105" s="115">
        <v>1</v>
      </c>
      <c r="K105" s="115">
        <v>1</v>
      </c>
      <c r="L105" s="115">
        <v>1</v>
      </c>
      <c r="M105" s="115">
        <v>1</v>
      </c>
      <c r="N105" s="115">
        <v>1</v>
      </c>
      <c r="R105" s="53">
        <v>0.66666666666666696</v>
      </c>
      <c r="S105" s="11">
        <f t="shared" si="18"/>
        <v>0.18264840182648401</v>
      </c>
      <c r="T105" s="11">
        <f t="shared" si="18"/>
        <v>0.18264840182648401</v>
      </c>
      <c r="U105" s="11">
        <f t="shared" si="18"/>
        <v>0.18264840182648401</v>
      </c>
      <c r="V105" s="11">
        <f t="shared" si="17"/>
        <v>0.18264840182648401</v>
      </c>
      <c r="W105" s="11">
        <f t="shared" si="17"/>
        <v>0.18264840182648401</v>
      </c>
      <c r="X105" s="11">
        <f t="shared" si="17"/>
        <v>0.18264840182648401</v>
      </c>
      <c r="Y105" s="11">
        <f t="shared" si="17"/>
        <v>0.18264840182648401</v>
      </c>
      <c r="Z105" s="11">
        <f t="shared" si="17"/>
        <v>0.18264840182648401</v>
      </c>
      <c r="AA105" s="11">
        <f t="shared" si="17"/>
        <v>0.18264840182648401</v>
      </c>
      <c r="AB105" s="11">
        <f t="shared" si="17"/>
        <v>0.18264840182648401</v>
      </c>
      <c r="AC105" s="11">
        <f t="shared" si="19"/>
        <v>0.18264840182648401</v>
      </c>
      <c r="AD105" s="11">
        <f t="shared" si="19"/>
        <v>0.18264840182648401</v>
      </c>
    </row>
    <row r="106" spans="2:30" x14ac:dyDescent="0.2">
      <c r="B106" s="53">
        <v>0.70833333333333304</v>
      </c>
      <c r="C106" s="115">
        <v>0</v>
      </c>
      <c r="D106" s="115">
        <v>0</v>
      </c>
      <c r="E106" s="115">
        <v>1</v>
      </c>
      <c r="F106" s="115">
        <v>0</v>
      </c>
      <c r="G106" s="115">
        <v>0</v>
      </c>
      <c r="H106" s="115">
        <v>0</v>
      </c>
      <c r="I106" s="115">
        <v>0</v>
      </c>
      <c r="J106" s="115">
        <v>0</v>
      </c>
      <c r="K106" s="115">
        <v>0</v>
      </c>
      <c r="L106" s="115">
        <v>1</v>
      </c>
      <c r="M106" s="115">
        <v>0</v>
      </c>
      <c r="N106" s="115">
        <v>0</v>
      </c>
      <c r="R106" s="53">
        <v>0.70833333333333304</v>
      </c>
      <c r="S106" s="120">
        <v>0</v>
      </c>
      <c r="T106" s="120">
        <v>0</v>
      </c>
      <c r="U106" s="11">
        <f t="shared" si="18"/>
        <v>0.18264840182648401</v>
      </c>
      <c r="V106" s="120">
        <v>0</v>
      </c>
      <c r="W106" s="120">
        <v>0</v>
      </c>
      <c r="X106" s="120">
        <v>0</v>
      </c>
      <c r="Y106" s="120">
        <v>0</v>
      </c>
      <c r="Z106" s="120">
        <v>0</v>
      </c>
      <c r="AA106" s="120">
        <v>0</v>
      </c>
      <c r="AB106" s="11">
        <f t="shared" si="17"/>
        <v>0.18264840182648401</v>
      </c>
      <c r="AC106" s="120">
        <v>0</v>
      </c>
      <c r="AD106" s="120">
        <v>0</v>
      </c>
    </row>
    <row r="107" spans="2:30" x14ac:dyDescent="0.2">
      <c r="B107" s="53">
        <v>0.75</v>
      </c>
      <c r="C107" s="115">
        <v>0</v>
      </c>
      <c r="D107" s="115">
        <v>0</v>
      </c>
      <c r="E107" s="115">
        <v>0</v>
      </c>
      <c r="F107" s="115">
        <v>0</v>
      </c>
      <c r="G107" s="115">
        <v>0</v>
      </c>
      <c r="H107" s="115">
        <v>0</v>
      </c>
      <c r="I107" s="115">
        <v>0</v>
      </c>
      <c r="J107" s="115">
        <v>0</v>
      </c>
      <c r="K107" s="115">
        <v>0</v>
      </c>
      <c r="L107" s="115">
        <v>0</v>
      </c>
      <c r="M107" s="115">
        <v>0</v>
      </c>
      <c r="N107" s="115">
        <v>0</v>
      </c>
      <c r="R107" s="53">
        <v>0.75</v>
      </c>
      <c r="S107" s="120">
        <v>0</v>
      </c>
      <c r="T107" s="120">
        <v>0</v>
      </c>
      <c r="U107" s="120">
        <v>0</v>
      </c>
      <c r="V107" s="120">
        <v>0</v>
      </c>
      <c r="W107" s="120">
        <v>0</v>
      </c>
      <c r="X107" s="120">
        <v>0</v>
      </c>
      <c r="Y107" s="120">
        <v>0</v>
      </c>
      <c r="Z107" s="120">
        <v>0</v>
      </c>
      <c r="AA107" s="120">
        <v>0</v>
      </c>
      <c r="AB107" s="120">
        <v>0</v>
      </c>
      <c r="AC107" s="120">
        <v>0</v>
      </c>
      <c r="AD107" s="120">
        <v>0</v>
      </c>
    </row>
    <row r="108" spans="2:30" x14ac:dyDescent="0.2">
      <c r="B108" s="53">
        <v>0.79166666666666696</v>
      </c>
      <c r="C108" s="115">
        <v>0</v>
      </c>
      <c r="D108" s="115">
        <v>0</v>
      </c>
      <c r="E108" s="115">
        <v>0</v>
      </c>
      <c r="F108" s="115">
        <v>0</v>
      </c>
      <c r="G108" s="115">
        <v>0</v>
      </c>
      <c r="H108" s="115">
        <v>0</v>
      </c>
      <c r="I108" s="115">
        <v>0</v>
      </c>
      <c r="J108" s="115">
        <v>0</v>
      </c>
      <c r="K108" s="115">
        <v>0</v>
      </c>
      <c r="L108" s="115">
        <v>0</v>
      </c>
      <c r="M108" s="115">
        <v>0</v>
      </c>
      <c r="N108" s="115">
        <v>0</v>
      </c>
      <c r="R108" s="53">
        <v>0.79166666666666696</v>
      </c>
      <c r="S108" s="120">
        <v>0</v>
      </c>
      <c r="T108" s="120">
        <v>0</v>
      </c>
      <c r="U108" s="120">
        <v>0</v>
      </c>
      <c r="V108" s="120">
        <v>0</v>
      </c>
      <c r="W108" s="120">
        <v>0</v>
      </c>
      <c r="X108" s="120">
        <v>0</v>
      </c>
      <c r="Y108" s="120">
        <v>0</v>
      </c>
      <c r="Z108" s="120">
        <v>0</v>
      </c>
      <c r="AA108" s="120">
        <v>0</v>
      </c>
      <c r="AB108" s="120">
        <v>0</v>
      </c>
      <c r="AC108" s="120">
        <v>0</v>
      </c>
      <c r="AD108" s="120">
        <v>0</v>
      </c>
    </row>
    <row r="109" spans="2:30" x14ac:dyDescent="0.2">
      <c r="B109" s="53">
        <v>0.83333333333333304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v>0</v>
      </c>
      <c r="I109" s="115">
        <v>0</v>
      </c>
      <c r="J109" s="115">
        <v>0</v>
      </c>
      <c r="K109" s="115">
        <v>0</v>
      </c>
      <c r="L109" s="115">
        <v>0</v>
      </c>
      <c r="M109" s="115">
        <v>0</v>
      </c>
      <c r="N109" s="115">
        <v>0</v>
      </c>
      <c r="R109" s="53">
        <v>0.83333333333333304</v>
      </c>
      <c r="S109" s="120">
        <v>0</v>
      </c>
      <c r="T109" s="120">
        <v>0</v>
      </c>
      <c r="U109" s="120">
        <v>0</v>
      </c>
      <c r="V109" s="120">
        <v>0</v>
      </c>
      <c r="W109" s="120">
        <v>0</v>
      </c>
      <c r="X109" s="120">
        <v>0</v>
      </c>
      <c r="Y109" s="120">
        <v>0</v>
      </c>
      <c r="Z109" s="120">
        <v>0</v>
      </c>
      <c r="AA109" s="120">
        <v>0</v>
      </c>
      <c r="AB109" s="120">
        <v>0</v>
      </c>
      <c r="AC109" s="120">
        <v>0</v>
      </c>
      <c r="AD109" s="120">
        <v>0</v>
      </c>
    </row>
    <row r="110" spans="2:30" x14ac:dyDescent="0.2">
      <c r="B110" s="53">
        <v>0.875</v>
      </c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v>0</v>
      </c>
      <c r="I110" s="115">
        <v>0</v>
      </c>
      <c r="J110" s="115">
        <v>0</v>
      </c>
      <c r="K110" s="115">
        <v>0</v>
      </c>
      <c r="L110" s="115">
        <v>0</v>
      </c>
      <c r="M110" s="115">
        <v>0</v>
      </c>
      <c r="N110" s="115">
        <v>0</v>
      </c>
      <c r="R110" s="53">
        <v>0.875</v>
      </c>
      <c r="S110" s="120">
        <v>0</v>
      </c>
      <c r="T110" s="120">
        <v>0</v>
      </c>
      <c r="U110" s="120">
        <v>0</v>
      </c>
      <c r="V110" s="120">
        <v>0</v>
      </c>
      <c r="W110" s="120">
        <v>0</v>
      </c>
      <c r="X110" s="120">
        <v>0</v>
      </c>
      <c r="Y110" s="120">
        <v>0</v>
      </c>
      <c r="Z110" s="120">
        <v>0</v>
      </c>
      <c r="AA110" s="120">
        <v>0</v>
      </c>
      <c r="AB110" s="120">
        <v>0</v>
      </c>
      <c r="AC110" s="120">
        <v>0</v>
      </c>
      <c r="AD110" s="120">
        <v>0</v>
      </c>
    </row>
    <row r="111" spans="2:30" x14ac:dyDescent="0.2">
      <c r="B111" s="53">
        <v>0.91666666666666696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v>0</v>
      </c>
      <c r="I111" s="115">
        <v>0</v>
      </c>
      <c r="J111" s="115">
        <v>0</v>
      </c>
      <c r="K111" s="115">
        <v>0</v>
      </c>
      <c r="L111" s="115">
        <v>0</v>
      </c>
      <c r="M111" s="115">
        <v>0</v>
      </c>
      <c r="N111" s="115">
        <v>0</v>
      </c>
      <c r="R111" s="53">
        <v>0.91666666666666696</v>
      </c>
      <c r="S111" s="120">
        <v>0</v>
      </c>
      <c r="T111" s="120">
        <v>0</v>
      </c>
      <c r="U111" s="120">
        <v>0</v>
      </c>
      <c r="V111" s="120">
        <v>0</v>
      </c>
      <c r="W111" s="120">
        <v>0</v>
      </c>
      <c r="X111" s="120">
        <v>0</v>
      </c>
      <c r="Y111" s="120">
        <v>0</v>
      </c>
      <c r="Z111" s="120">
        <v>0</v>
      </c>
      <c r="AA111" s="120">
        <v>0</v>
      </c>
      <c r="AB111" s="120">
        <v>0</v>
      </c>
      <c r="AC111" s="120">
        <v>0</v>
      </c>
      <c r="AD111" s="120">
        <v>0</v>
      </c>
    </row>
    <row r="112" spans="2:30" x14ac:dyDescent="0.2">
      <c r="B112" s="53">
        <v>0.95833333333333304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v>0</v>
      </c>
      <c r="I112" s="115">
        <v>0</v>
      </c>
      <c r="J112" s="115">
        <v>0</v>
      </c>
      <c r="K112" s="115">
        <v>0</v>
      </c>
      <c r="L112" s="115">
        <v>0</v>
      </c>
      <c r="M112" s="115">
        <v>0</v>
      </c>
      <c r="N112" s="115">
        <v>0</v>
      </c>
      <c r="R112" s="53">
        <v>0.95833333333333304</v>
      </c>
      <c r="S112" s="120">
        <v>0</v>
      </c>
      <c r="T112" s="120">
        <v>0</v>
      </c>
      <c r="U112" s="120">
        <v>0</v>
      </c>
      <c r="V112" s="120">
        <v>0</v>
      </c>
      <c r="W112" s="120">
        <v>0</v>
      </c>
      <c r="X112" s="120">
        <v>0</v>
      </c>
      <c r="Y112" s="120">
        <v>0</v>
      </c>
      <c r="Z112" s="120">
        <v>0</v>
      </c>
      <c r="AA112" s="120">
        <v>0</v>
      </c>
      <c r="AB112" s="120">
        <v>0</v>
      </c>
      <c r="AC112" s="120">
        <v>0</v>
      </c>
      <c r="AD112" s="120">
        <v>0</v>
      </c>
    </row>
    <row r="113" spans="2:30" x14ac:dyDescent="0.2">
      <c r="C113" s="108">
        <f>SUM(C89:C112)</f>
        <v>6</v>
      </c>
      <c r="D113" s="108">
        <f t="shared" ref="D113:N113" si="20">SUM(D89:D112)</f>
        <v>6</v>
      </c>
      <c r="E113" s="108">
        <f t="shared" si="20"/>
        <v>6</v>
      </c>
      <c r="F113" s="108">
        <f t="shared" si="20"/>
        <v>6</v>
      </c>
      <c r="G113" s="108">
        <f t="shared" si="20"/>
        <v>6</v>
      </c>
      <c r="H113" s="108">
        <f t="shared" si="20"/>
        <v>6</v>
      </c>
      <c r="I113" s="108">
        <f t="shared" si="20"/>
        <v>6</v>
      </c>
      <c r="J113" s="108">
        <f t="shared" si="20"/>
        <v>6</v>
      </c>
      <c r="K113" s="108">
        <f t="shared" si="20"/>
        <v>6</v>
      </c>
      <c r="L113" s="108">
        <f t="shared" si="20"/>
        <v>6</v>
      </c>
      <c r="M113" s="108">
        <f t="shared" si="20"/>
        <v>6</v>
      </c>
      <c r="N113" s="108">
        <f t="shared" si="20"/>
        <v>6</v>
      </c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  <c r="AD113" s="120"/>
    </row>
    <row r="114" spans="2:30" x14ac:dyDescent="0.2">
      <c r="B114" s="53"/>
      <c r="R114" s="53"/>
    </row>
    <row r="115" spans="2:30" x14ac:dyDescent="0.2">
      <c r="B115">
        <v>5</v>
      </c>
      <c r="C115" s="115"/>
      <c r="R115">
        <v>5</v>
      </c>
    </row>
    <row r="116" spans="2:30" x14ac:dyDescent="0.2">
      <c r="C116" s="115"/>
    </row>
    <row r="117" spans="2:30" x14ac:dyDescent="0.2">
      <c r="B117" s="53">
        <v>0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v>0</v>
      </c>
      <c r="I117" s="115">
        <v>0</v>
      </c>
      <c r="J117" s="115">
        <v>0</v>
      </c>
      <c r="K117" s="115">
        <v>0</v>
      </c>
      <c r="L117" s="115">
        <v>0</v>
      </c>
      <c r="M117" s="115">
        <v>0</v>
      </c>
      <c r="N117" s="115">
        <v>0</v>
      </c>
      <c r="R117" s="53">
        <v>0</v>
      </c>
      <c r="S117" s="120">
        <v>0</v>
      </c>
      <c r="T117" s="120">
        <v>0</v>
      </c>
      <c r="U117" s="120">
        <v>0</v>
      </c>
      <c r="V117" s="120">
        <v>0</v>
      </c>
      <c r="W117" s="120">
        <v>0</v>
      </c>
      <c r="X117" s="120">
        <v>0</v>
      </c>
      <c r="Y117" s="120">
        <v>0</v>
      </c>
      <c r="Z117" s="120">
        <v>0</v>
      </c>
      <c r="AA117" s="120">
        <v>0</v>
      </c>
      <c r="AB117" s="120">
        <v>0</v>
      </c>
      <c r="AC117" s="120">
        <v>0</v>
      </c>
      <c r="AD117" s="120">
        <v>0</v>
      </c>
    </row>
    <row r="118" spans="2:30" x14ac:dyDescent="0.2">
      <c r="B118" s="53">
        <v>4.1666666666666664E-2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v>0</v>
      </c>
      <c r="I118" s="115">
        <v>0</v>
      </c>
      <c r="J118" s="115">
        <v>0</v>
      </c>
      <c r="K118" s="115">
        <v>0</v>
      </c>
      <c r="L118" s="115">
        <v>0</v>
      </c>
      <c r="M118" s="115">
        <v>0</v>
      </c>
      <c r="N118" s="115">
        <v>0</v>
      </c>
      <c r="R118" s="53">
        <v>4.1666666666666664E-2</v>
      </c>
      <c r="S118" s="120">
        <v>0</v>
      </c>
      <c r="T118" s="120">
        <v>0</v>
      </c>
      <c r="U118" s="120">
        <v>0</v>
      </c>
      <c r="V118" s="120">
        <v>0</v>
      </c>
      <c r="W118" s="120">
        <v>0</v>
      </c>
      <c r="X118" s="120">
        <v>0</v>
      </c>
      <c r="Y118" s="120">
        <v>0</v>
      </c>
      <c r="Z118" s="120">
        <v>0</v>
      </c>
      <c r="AA118" s="120">
        <v>0</v>
      </c>
      <c r="AB118" s="120">
        <v>0</v>
      </c>
      <c r="AC118" s="120">
        <v>0</v>
      </c>
      <c r="AD118" s="120">
        <v>0</v>
      </c>
    </row>
    <row r="119" spans="2:30" x14ac:dyDescent="0.2">
      <c r="B119" s="53">
        <v>8.3333333333333301E-2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v>0</v>
      </c>
      <c r="I119" s="115">
        <v>0</v>
      </c>
      <c r="J119" s="115">
        <v>0</v>
      </c>
      <c r="K119" s="115">
        <v>0</v>
      </c>
      <c r="L119" s="115">
        <v>0</v>
      </c>
      <c r="M119" s="115">
        <v>0</v>
      </c>
      <c r="N119" s="115">
        <v>0</v>
      </c>
      <c r="R119" s="53">
        <v>8.3333333333333301E-2</v>
      </c>
      <c r="S119" s="120">
        <v>0</v>
      </c>
      <c r="T119" s="120">
        <v>0</v>
      </c>
      <c r="U119" s="120">
        <v>0</v>
      </c>
      <c r="V119" s="120">
        <v>0</v>
      </c>
      <c r="W119" s="120">
        <v>0</v>
      </c>
      <c r="X119" s="120">
        <v>0</v>
      </c>
      <c r="Y119" s="120">
        <v>0</v>
      </c>
      <c r="Z119" s="120">
        <v>0</v>
      </c>
      <c r="AA119" s="120">
        <v>0</v>
      </c>
      <c r="AB119" s="120">
        <v>0</v>
      </c>
      <c r="AC119" s="120">
        <v>0</v>
      </c>
      <c r="AD119" s="120">
        <v>0</v>
      </c>
    </row>
    <row r="120" spans="2:30" x14ac:dyDescent="0.2">
      <c r="B120" s="53">
        <v>0.125</v>
      </c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v>0</v>
      </c>
      <c r="I120" s="115">
        <v>0</v>
      </c>
      <c r="J120" s="115">
        <v>0</v>
      </c>
      <c r="K120" s="115">
        <v>0</v>
      </c>
      <c r="L120" s="115">
        <v>0</v>
      </c>
      <c r="M120" s="115">
        <v>0</v>
      </c>
      <c r="N120" s="115">
        <v>0</v>
      </c>
      <c r="R120" s="53">
        <v>0.125</v>
      </c>
      <c r="S120" s="120">
        <v>0</v>
      </c>
      <c r="T120" s="120">
        <v>0</v>
      </c>
      <c r="U120" s="120">
        <v>0</v>
      </c>
      <c r="V120" s="120">
        <v>0</v>
      </c>
      <c r="W120" s="120">
        <v>0</v>
      </c>
      <c r="X120" s="120">
        <v>0</v>
      </c>
      <c r="Y120" s="120">
        <v>0</v>
      </c>
      <c r="Z120" s="120">
        <v>0</v>
      </c>
      <c r="AA120" s="120">
        <v>0</v>
      </c>
      <c r="AB120" s="120">
        <v>0</v>
      </c>
      <c r="AC120" s="120">
        <v>0</v>
      </c>
      <c r="AD120" s="120">
        <v>0</v>
      </c>
    </row>
    <row r="121" spans="2:30" x14ac:dyDescent="0.2">
      <c r="B121" s="53">
        <v>0.16666666666666699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v>0</v>
      </c>
      <c r="I121" s="115">
        <v>0</v>
      </c>
      <c r="J121" s="115">
        <v>0</v>
      </c>
      <c r="K121" s="115">
        <v>0</v>
      </c>
      <c r="L121" s="115">
        <v>0</v>
      </c>
      <c r="M121" s="115">
        <v>0</v>
      </c>
      <c r="N121" s="115">
        <v>0</v>
      </c>
      <c r="R121" s="53">
        <v>0.16666666666666699</v>
      </c>
      <c r="S121" s="120">
        <v>0</v>
      </c>
      <c r="T121" s="120">
        <v>0</v>
      </c>
      <c r="U121" s="120">
        <v>0</v>
      </c>
      <c r="V121" s="120">
        <v>0</v>
      </c>
      <c r="W121" s="120">
        <v>0</v>
      </c>
      <c r="X121" s="120">
        <v>0</v>
      </c>
      <c r="Y121" s="120">
        <v>0</v>
      </c>
      <c r="Z121" s="120">
        <v>0</v>
      </c>
      <c r="AA121" s="120">
        <v>0</v>
      </c>
      <c r="AB121" s="120">
        <v>0</v>
      </c>
      <c r="AC121" s="120">
        <v>0</v>
      </c>
      <c r="AD121" s="120">
        <v>0</v>
      </c>
    </row>
    <row r="122" spans="2:30" x14ac:dyDescent="0.2">
      <c r="B122" s="53">
        <v>0.20833333333333301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v>0</v>
      </c>
      <c r="I122" s="115">
        <v>0</v>
      </c>
      <c r="J122" s="115">
        <v>0</v>
      </c>
      <c r="K122" s="115">
        <v>0</v>
      </c>
      <c r="L122" s="115">
        <v>0</v>
      </c>
      <c r="M122" s="115">
        <v>0</v>
      </c>
      <c r="N122" s="115">
        <v>0</v>
      </c>
      <c r="R122" s="53">
        <v>0.20833333333333301</v>
      </c>
      <c r="S122" s="120">
        <v>0</v>
      </c>
      <c r="T122" s="120">
        <v>0</v>
      </c>
      <c r="U122" s="120">
        <v>0</v>
      </c>
      <c r="V122" s="120">
        <v>0</v>
      </c>
      <c r="W122" s="120">
        <v>0</v>
      </c>
      <c r="X122" s="120">
        <v>0</v>
      </c>
      <c r="Y122" s="120">
        <v>0</v>
      </c>
      <c r="Z122" s="120">
        <v>0</v>
      </c>
      <c r="AA122" s="120">
        <v>0</v>
      </c>
      <c r="AB122" s="120">
        <v>0</v>
      </c>
      <c r="AC122" s="120">
        <v>0</v>
      </c>
      <c r="AD122" s="120">
        <v>0</v>
      </c>
    </row>
    <row r="123" spans="2:30" x14ac:dyDescent="0.2">
      <c r="B123" s="53">
        <v>0.25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v>0</v>
      </c>
      <c r="I123" s="115">
        <v>0</v>
      </c>
      <c r="J123" s="115">
        <v>0</v>
      </c>
      <c r="K123" s="115">
        <v>0</v>
      </c>
      <c r="L123" s="115">
        <v>0</v>
      </c>
      <c r="M123" s="115">
        <v>0</v>
      </c>
      <c r="N123" s="115">
        <v>0</v>
      </c>
      <c r="R123" s="53">
        <v>0.25</v>
      </c>
      <c r="S123" s="120">
        <v>0</v>
      </c>
      <c r="T123" s="120">
        <v>0</v>
      </c>
      <c r="U123" s="120">
        <v>0</v>
      </c>
      <c r="V123" s="120">
        <v>0</v>
      </c>
      <c r="W123" s="120">
        <v>0</v>
      </c>
      <c r="X123" s="120">
        <v>0</v>
      </c>
      <c r="Y123" s="120">
        <v>0</v>
      </c>
      <c r="Z123" s="120">
        <v>0</v>
      </c>
      <c r="AA123" s="120">
        <v>0</v>
      </c>
      <c r="AB123" s="120">
        <v>0</v>
      </c>
      <c r="AC123" s="120">
        <v>0</v>
      </c>
      <c r="AD123" s="120">
        <v>0</v>
      </c>
    </row>
    <row r="124" spans="2:30" x14ac:dyDescent="0.2">
      <c r="B124" s="53">
        <v>0.29166666666666702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v>0</v>
      </c>
      <c r="I124" s="115">
        <v>0</v>
      </c>
      <c r="J124" s="115">
        <v>0</v>
      </c>
      <c r="K124" s="115">
        <v>0</v>
      </c>
      <c r="L124" s="115">
        <v>0</v>
      </c>
      <c r="M124" s="115">
        <v>0</v>
      </c>
      <c r="N124" s="115">
        <v>0</v>
      </c>
      <c r="R124" s="53">
        <v>0.29166666666666702</v>
      </c>
      <c r="S124" s="120">
        <v>0</v>
      </c>
      <c r="T124" s="120">
        <v>0</v>
      </c>
      <c r="U124" s="120">
        <v>0</v>
      </c>
      <c r="V124" s="120">
        <v>0</v>
      </c>
      <c r="W124" s="120">
        <v>0</v>
      </c>
      <c r="X124" s="120">
        <v>0</v>
      </c>
      <c r="Y124" s="120">
        <v>0</v>
      </c>
      <c r="Z124" s="120">
        <v>0</v>
      </c>
      <c r="AA124" s="120">
        <v>0</v>
      </c>
      <c r="AB124" s="120">
        <v>0</v>
      </c>
      <c r="AC124" s="120">
        <v>0</v>
      </c>
      <c r="AD124" s="120">
        <v>0</v>
      </c>
    </row>
    <row r="125" spans="2:30" x14ac:dyDescent="0.2">
      <c r="B125" s="53">
        <v>0.33333333333333298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v>0</v>
      </c>
      <c r="I125" s="115">
        <v>0</v>
      </c>
      <c r="J125" s="115">
        <v>0</v>
      </c>
      <c r="K125" s="115">
        <v>0</v>
      </c>
      <c r="L125" s="115">
        <v>0</v>
      </c>
      <c r="M125" s="115">
        <v>0</v>
      </c>
      <c r="N125" s="115">
        <v>0</v>
      </c>
      <c r="R125" s="53">
        <v>0.33333333333333298</v>
      </c>
      <c r="S125" s="120">
        <v>0</v>
      </c>
      <c r="T125" s="120">
        <v>0</v>
      </c>
      <c r="U125" s="120">
        <v>0</v>
      </c>
      <c r="V125" s="120">
        <v>0</v>
      </c>
      <c r="W125" s="120">
        <v>0</v>
      </c>
      <c r="X125" s="120">
        <v>0</v>
      </c>
      <c r="Y125" s="120">
        <v>0</v>
      </c>
      <c r="Z125" s="120">
        <v>0</v>
      </c>
      <c r="AA125" s="120">
        <v>0</v>
      </c>
      <c r="AB125" s="120">
        <v>0</v>
      </c>
      <c r="AC125" s="120">
        <v>0</v>
      </c>
      <c r="AD125" s="120">
        <v>0</v>
      </c>
    </row>
    <row r="126" spans="2:30" x14ac:dyDescent="0.2">
      <c r="B126" s="53">
        <v>0.375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v>0</v>
      </c>
      <c r="I126" s="115">
        <v>0</v>
      </c>
      <c r="J126" s="115">
        <v>0</v>
      </c>
      <c r="K126" s="115">
        <v>0</v>
      </c>
      <c r="L126" s="115">
        <v>0</v>
      </c>
      <c r="M126" s="115">
        <v>0</v>
      </c>
      <c r="N126" s="115">
        <v>0</v>
      </c>
      <c r="R126" s="53">
        <v>0.375</v>
      </c>
      <c r="S126" s="120">
        <v>0</v>
      </c>
      <c r="T126" s="120">
        <v>0</v>
      </c>
      <c r="U126" s="120">
        <v>0</v>
      </c>
      <c r="V126" s="120">
        <v>0</v>
      </c>
      <c r="W126" s="120">
        <v>0</v>
      </c>
      <c r="X126" s="120">
        <v>0</v>
      </c>
      <c r="Y126" s="120">
        <v>0</v>
      </c>
      <c r="Z126" s="120">
        <v>0</v>
      </c>
      <c r="AA126" s="120">
        <v>0</v>
      </c>
      <c r="AB126" s="120">
        <v>0</v>
      </c>
      <c r="AC126" s="120">
        <v>0</v>
      </c>
      <c r="AD126" s="120">
        <v>0</v>
      </c>
    </row>
    <row r="127" spans="2:30" x14ac:dyDescent="0.2">
      <c r="B127" s="53">
        <v>0.41666666666666702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  <c r="I127" s="115">
        <v>0</v>
      </c>
      <c r="J127" s="115">
        <v>0</v>
      </c>
      <c r="K127" s="115">
        <v>0</v>
      </c>
      <c r="L127" s="115">
        <v>0</v>
      </c>
      <c r="M127" s="115">
        <v>0</v>
      </c>
      <c r="N127" s="115">
        <v>0</v>
      </c>
      <c r="R127" s="53">
        <v>0.41666666666666702</v>
      </c>
      <c r="S127" s="120">
        <v>0</v>
      </c>
      <c r="T127" s="120">
        <v>0</v>
      </c>
      <c r="U127" s="120">
        <v>0</v>
      </c>
      <c r="V127" s="120">
        <v>0</v>
      </c>
      <c r="W127" s="120">
        <v>0</v>
      </c>
      <c r="X127" s="120">
        <v>0</v>
      </c>
      <c r="Y127" s="120">
        <v>0</v>
      </c>
      <c r="Z127" s="120">
        <v>0</v>
      </c>
      <c r="AA127" s="120">
        <v>0</v>
      </c>
      <c r="AB127" s="120">
        <v>0</v>
      </c>
      <c r="AC127" s="120">
        <v>0</v>
      </c>
      <c r="AD127" s="120">
        <v>0</v>
      </c>
    </row>
    <row r="128" spans="2:30" x14ac:dyDescent="0.2">
      <c r="B128" s="53">
        <v>0.45833333333333298</v>
      </c>
      <c r="C128" s="115">
        <v>1</v>
      </c>
      <c r="D128" s="115">
        <v>1</v>
      </c>
      <c r="E128" s="115">
        <v>0</v>
      </c>
      <c r="F128" s="115">
        <v>0</v>
      </c>
      <c r="G128" s="115">
        <v>0</v>
      </c>
      <c r="H128" s="115">
        <v>0</v>
      </c>
      <c r="I128" s="115">
        <v>0</v>
      </c>
      <c r="J128" s="115">
        <v>0</v>
      </c>
      <c r="K128" s="115">
        <v>0</v>
      </c>
      <c r="L128" s="115">
        <v>0</v>
      </c>
      <c r="M128" s="115">
        <v>1</v>
      </c>
      <c r="N128" s="115">
        <v>1</v>
      </c>
      <c r="R128" s="53">
        <v>0.45833333333333298</v>
      </c>
      <c r="S128" s="11">
        <f>+C128*$P$30</f>
        <v>0.18264840182648401</v>
      </c>
      <c r="T128" s="11">
        <f>+D128*$P$30</f>
        <v>0.18264840182648401</v>
      </c>
      <c r="U128" s="120">
        <v>0</v>
      </c>
      <c r="V128" s="120">
        <v>0</v>
      </c>
      <c r="W128" s="120">
        <v>0</v>
      </c>
      <c r="X128" s="120">
        <v>0</v>
      </c>
      <c r="Y128" s="120">
        <v>0</v>
      </c>
      <c r="Z128" s="120">
        <v>0</v>
      </c>
      <c r="AA128" s="120">
        <v>0</v>
      </c>
      <c r="AB128" s="120">
        <v>0</v>
      </c>
      <c r="AC128" s="11">
        <f>+M128*$P$30</f>
        <v>0.18264840182648401</v>
      </c>
      <c r="AD128" s="11">
        <f>+N128*$P$30</f>
        <v>0.18264840182648401</v>
      </c>
    </row>
    <row r="129" spans="2:30" x14ac:dyDescent="0.2">
      <c r="B129" s="53">
        <v>0.5</v>
      </c>
      <c r="C129" s="115">
        <v>1</v>
      </c>
      <c r="D129" s="115">
        <v>1</v>
      </c>
      <c r="E129" s="115">
        <v>1</v>
      </c>
      <c r="F129" s="115">
        <v>0</v>
      </c>
      <c r="G129" s="115">
        <v>0</v>
      </c>
      <c r="H129" s="115">
        <v>0</v>
      </c>
      <c r="I129" s="115">
        <v>0</v>
      </c>
      <c r="J129" s="115">
        <v>0</v>
      </c>
      <c r="K129" s="115">
        <v>0</v>
      </c>
      <c r="L129" s="115">
        <v>1</v>
      </c>
      <c r="M129" s="115">
        <v>1</v>
      </c>
      <c r="N129" s="115">
        <v>1</v>
      </c>
      <c r="R129" s="53">
        <v>0.5</v>
      </c>
      <c r="S129" s="11">
        <f t="shared" ref="S129:AB135" si="21">+C129*$P$30</f>
        <v>0.18264840182648401</v>
      </c>
      <c r="T129" s="11">
        <f t="shared" si="21"/>
        <v>0.18264840182648401</v>
      </c>
      <c r="U129" s="11">
        <f>+E129*$P$30</f>
        <v>0.18264840182648401</v>
      </c>
      <c r="V129" s="120">
        <v>0</v>
      </c>
      <c r="W129" s="120">
        <v>0</v>
      </c>
      <c r="X129" s="120">
        <v>0</v>
      </c>
      <c r="Y129" s="120">
        <v>0</v>
      </c>
      <c r="Z129" s="120">
        <v>0</v>
      </c>
      <c r="AA129" s="120">
        <v>0</v>
      </c>
      <c r="AB129" s="11">
        <f>+L129*$P$30</f>
        <v>0.18264840182648401</v>
      </c>
      <c r="AC129" s="11">
        <f t="shared" ref="AC129:AD133" si="22">+M129*$P$30</f>
        <v>0.18264840182648401</v>
      </c>
      <c r="AD129" s="11">
        <f t="shared" si="22"/>
        <v>0.18264840182648401</v>
      </c>
    </row>
    <row r="130" spans="2:30" x14ac:dyDescent="0.2">
      <c r="B130" s="53">
        <v>0.54166666666666696</v>
      </c>
      <c r="C130" s="115">
        <v>1</v>
      </c>
      <c r="D130" s="115">
        <v>1</v>
      </c>
      <c r="E130" s="115">
        <v>1</v>
      </c>
      <c r="F130" s="115">
        <v>1</v>
      </c>
      <c r="G130" s="115">
        <v>1</v>
      </c>
      <c r="H130" s="115">
        <v>1</v>
      </c>
      <c r="I130" s="115">
        <v>1</v>
      </c>
      <c r="J130" s="115">
        <v>1</v>
      </c>
      <c r="K130" s="115">
        <v>1</v>
      </c>
      <c r="L130" s="115">
        <v>1</v>
      </c>
      <c r="M130" s="115">
        <v>1</v>
      </c>
      <c r="N130" s="115">
        <v>1</v>
      </c>
      <c r="R130" s="53">
        <v>0.54166666666666696</v>
      </c>
      <c r="S130" s="11">
        <f t="shared" si="21"/>
        <v>0.18264840182648401</v>
      </c>
      <c r="T130" s="11">
        <f t="shared" si="21"/>
        <v>0.18264840182648401</v>
      </c>
      <c r="U130" s="11">
        <f t="shared" si="21"/>
        <v>0.18264840182648401</v>
      </c>
      <c r="V130" s="11">
        <f t="shared" si="21"/>
        <v>0.18264840182648401</v>
      </c>
      <c r="W130" s="11">
        <f t="shared" si="21"/>
        <v>0.18264840182648401</v>
      </c>
      <c r="X130" s="11">
        <f t="shared" si="21"/>
        <v>0.18264840182648401</v>
      </c>
      <c r="Y130" s="11">
        <f t="shared" si="21"/>
        <v>0.18264840182648401</v>
      </c>
      <c r="Z130" s="11">
        <f t="shared" si="21"/>
        <v>0.18264840182648401</v>
      </c>
      <c r="AA130" s="11">
        <f t="shared" si="21"/>
        <v>0.18264840182648401</v>
      </c>
      <c r="AB130" s="11">
        <f t="shared" si="21"/>
        <v>0.18264840182648401</v>
      </c>
      <c r="AC130" s="11">
        <f t="shared" si="22"/>
        <v>0.18264840182648401</v>
      </c>
      <c r="AD130" s="11">
        <f t="shared" si="22"/>
        <v>0.18264840182648401</v>
      </c>
    </row>
    <row r="131" spans="2:30" x14ac:dyDescent="0.2">
      <c r="B131" s="53">
        <v>0.58333333333333304</v>
      </c>
      <c r="C131" s="115">
        <v>1</v>
      </c>
      <c r="D131" s="115">
        <v>1</v>
      </c>
      <c r="E131" s="115">
        <v>1</v>
      </c>
      <c r="F131" s="115">
        <v>1</v>
      </c>
      <c r="G131" s="115">
        <v>1</v>
      </c>
      <c r="H131" s="115">
        <v>1</v>
      </c>
      <c r="I131" s="115">
        <v>1</v>
      </c>
      <c r="J131" s="115">
        <v>1</v>
      </c>
      <c r="K131" s="115">
        <v>1</v>
      </c>
      <c r="L131" s="115">
        <v>1</v>
      </c>
      <c r="M131" s="115">
        <v>1</v>
      </c>
      <c r="N131" s="115">
        <v>1</v>
      </c>
      <c r="R131" s="53">
        <v>0.58333333333333304</v>
      </c>
      <c r="S131" s="11">
        <f t="shared" si="21"/>
        <v>0.18264840182648401</v>
      </c>
      <c r="T131" s="11">
        <f t="shared" si="21"/>
        <v>0.18264840182648401</v>
      </c>
      <c r="U131" s="11">
        <f t="shared" si="21"/>
        <v>0.18264840182648401</v>
      </c>
      <c r="V131" s="11">
        <f t="shared" si="21"/>
        <v>0.18264840182648401</v>
      </c>
      <c r="W131" s="11">
        <f t="shared" si="21"/>
        <v>0.18264840182648401</v>
      </c>
      <c r="X131" s="11">
        <f t="shared" si="21"/>
        <v>0.18264840182648401</v>
      </c>
      <c r="Y131" s="11">
        <f t="shared" si="21"/>
        <v>0.18264840182648401</v>
      </c>
      <c r="Z131" s="11">
        <f t="shared" si="21"/>
        <v>0.18264840182648401</v>
      </c>
      <c r="AA131" s="11">
        <f t="shared" si="21"/>
        <v>0.18264840182648401</v>
      </c>
      <c r="AB131" s="11">
        <f t="shared" si="21"/>
        <v>0.18264840182648401</v>
      </c>
      <c r="AC131" s="11">
        <f t="shared" si="22"/>
        <v>0.18264840182648401</v>
      </c>
      <c r="AD131" s="11">
        <f t="shared" si="22"/>
        <v>0.18264840182648401</v>
      </c>
    </row>
    <row r="132" spans="2:30" x14ac:dyDescent="0.2">
      <c r="B132" s="53">
        <v>0.625</v>
      </c>
      <c r="C132" s="115">
        <v>1</v>
      </c>
      <c r="D132" s="115">
        <v>1</v>
      </c>
      <c r="E132" s="115">
        <v>1</v>
      </c>
      <c r="F132" s="115">
        <v>1</v>
      </c>
      <c r="G132" s="115">
        <v>1</v>
      </c>
      <c r="H132" s="115">
        <v>1</v>
      </c>
      <c r="I132" s="115">
        <v>1</v>
      </c>
      <c r="J132" s="115">
        <v>1</v>
      </c>
      <c r="K132" s="115">
        <v>1</v>
      </c>
      <c r="L132" s="115">
        <v>1</v>
      </c>
      <c r="M132" s="115">
        <v>1</v>
      </c>
      <c r="N132" s="115">
        <v>1</v>
      </c>
      <c r="R132" s="53">
        <v>0.625</v>
      </c>
      <c r="S132" s="11">
        <f t="shared" si="21"/>
        <v>0.18264840182648401</v>
      </c>
      <c r="T132" s="11">
        <f t="shared" si="21"/>
        <v>0.18264840182648401</v>
      </c>
      <c r="U132" s="11">
        <f t="shared" si="21"/>
        <v>0.18264840182648401</v>
      </c>
      <c r="V132" s="11">
        <f t="shared" si="21"/>
        <v>0.18264840182648401</v>
      </c>
      <c r="W132" s="11">
        <f t="shared" si="21"/>
        <v>0.18264840182648401</v>
      </c>
      <c r="X132" s="11">
        <f t="shared" si="21"/>
        <v>0.18264840182648401</v>
      </c>
      <c r="Y132" s="11">
        <f t="shared" si="21"/>
        <v>0.18264840182648401</v>
      </c>
      <c r="Z132" s="11">
        <f t="shared" si="21"/>
        <v>0.18264840182648401</v>
      </c>
      <c r="AA132" s="11">
        <f t="shared" si="21"/>
        <v>0.18264840182648401</v>
      </c>
      <c r="AB132" s="11">
        <f t="shared" si="21"/>
        <v>0.18264840182648401</v>
      </c>
      <c r="AC132" s="11">
        <f t="shared" si="22"/>
        <v>0.18264840182648401</v>
      </c>
      <c r="AD132" s="11">
        <f t="shared" si="22"/>
        <v>0.18264840182648401</v>
      </c>
    </row>
    <row r="133" spans="2:30" x14ac:dyDescent="0.2">
      <c r="B133" s="53">
        <v>0.66666666666666696</v>
      </c>
      <c r="C133" s="115">
        <v>1</v>
      </c>
      <c r="D133" s="115">
        <v>1</v>
      </c>
      <c r="E133" s="115">
        <v>1</v>
      </c>
      <c r="F133" s="115">
        <v>1</v>
      </c>
      <c r="G133" s="115">
        <v>1</v>
      </c>
      <c r="H133" s="115">
        <v>1</v>
      </c>
      <c r="I133" s="115">
        <v>1</v>
      </c>
      <c r="J133" s="115">
        <v>1</v>
      </c>
      <c r="K133" s="115">
        <v>1</v>
      </c>
      <c r="L133" s="115">
        <v>1</v>
      </c>
      <c r="M133" s="115">
        <v>1</v>
      </c>
      <c r="N133" s="115">
        <v>1</v>
      </c>
      <c r="R133" s="53">
        <v>0.66666666666666696</v>
      </c>
      <c r="S133" s="11">
        <f t="shared" si="21"/>
        <v>0.18264840182648401</v>
      </c>
      <c r="T133" s="11">
        <f t="shared" si="21"/>
        <v>0.18264840182648401</v>
      </c>
      <c r="U133" s="11">
        <f t="shared" si="21"/>
        <v>0.18264840182648401</v>
      </c>
      <c r="V133" s="11">
        <f t="shared" si="21"/>
        <v>0.18264840182648401</v>
      </c>
      <c r="W133" s="11">
        <f t="shared" si="21"/>
        <v>0.18264840182648401</v>
      </c>
      <c r="X133" s="11">
        <f t="shared" si="21"/>
        <v>0.18264840182648401</v>
      </c>
      <c r="Y133" s="11">
        <f t="shared" si="21"/>
        <v>0.18264840182648401</v>
      </c>
      <c r="Z133" s="11">
        <f t="shared" si="21"/>
        <v>0.18264840182648401</v>
      </c>
      <c r="AA133" s="11">
        <f t="shared" si="21"/>
        <v>0.18264840182648401</v>
      </c>
      <c r="AB133" s="11">
        <f t="shared" si="21"/>
        <v>0.18264840182648401</v>
      </c>
      <c r="AC133" s="11">
        <f t="shared" si="22"/>
        <v>0.18264840182648401</v>
      </c>
      <c r="AD133" s="11">
        <f t="shared" si="22"/>
        <v>0.18264840182648401</v>
      </c>
    </row>
    <row r="134" spans="2:30" x14ac:dyDescent="0.2">
      <c r="B134" s="53">
        <v>0.70833333333333304</v>
      </c>
      <c r="C134" s="115">
        <v>0</v>
      </c>
      <c r="D134" s="115">
        <v>0</v>
      </c>
      <c r="E134" s="115">
        <v>1</v>
      </c>
      <c r="F134" s="115">
        <v>1</v>
      </c>
      <c r="G134" s="115">
        <v>1</v>
      </c>
      <c r="H134" s="115">
        <v>1</v>
      </c>
      <c r="I134" s="115">
        <v>1</v>
      </c>
      <c r="J134" s="115">
        <v>1</v>
      </c>
      <c r="K134" s="115">
        <v>1</v>
      </c>
      <c r="L134" s="115">
        <v>1</v>
      </c>
      <c r="M134" s="115">
        <v>0</v>
      </c>
      <c r="N134" s="115">
        <v>0</v>
      </c>
      <c r="R134" s="53">
        <v>0.70833333333333304</v>
      </c>
      <c r="S134" s="120">
        <v>0</v>
      </c>
      <c r="T134" s="120">
        <v>0</v>
      </c>
      <c r="U134" s="11">
        <f t="shared" si="21"/>
        <v>0.18264840182648401</v>
      </c>
      <c r="V134" s="11">
        <f t="shared" si="21"/>
        <v>0.18264840182648401</v>
      </c>
      <c r="W134" s="11">
        <f t="shared" si="21"/>
        <v>0.18264840182648401</v>
      </c>
      <c r="X134" s="11">
        <f t="shared" si="21"/>
        <v>0.18264840182648401</v>
      </c>
      <c r="Y134" s="11">
        <f t="shared" si="21"/>
        <v>0.18264840182648401</v>
      </c>
      <c r="Z134" s="11">
        <f t="shared" si="21"/>
        <v>0.18264840182648401</v>
      </c>
      <c r="AA134" s="11">
        <f t="shared" si="21"/>
        <v>0.18264840182648401</v>
      </c>
      <c r="AB134" s="11">
        <f t="shared" si="21"/>
        <v>0.18264840182648401</v>
      </c>
      <c r="AC134" s="120">
        <v>0</v>
      </c>
      <c r="AD134" s="120">
        <v>0</v>
      </c>
    </row>
    <row r="135" spans="2:30" x14ac:dyDescent="0.2">
      <c r="B135" s="53">
        <v>0.75</v>
      </c>
      <c r="C135" s="115">
        <v>0</v>
      </c>
      <c r="D135" s="115">
        <v>0</v>
      </c>
      <c r="E135" s="115">
        <v>0</v>
      </c>
      <c r="F135" s="115">
        <v>1</v>
      </c>
      <c r="G135" s="115">
        <v>1</v>
      </c>
      <c r="H135" s="115">
        <v>1</v>
      </c>
      <c r="I135" s="115">
        <v>1</v>
      </c>
      <c r="J135" s="115">
        <v>1</v>
      </c>
      <c r="K135" s="115">
        <v>1</v>
      </c>
      <c r="L135" s="115">
        <v>0</v>
      </c>
      <c r="M135" s="115">
        <v>0</v>
      </c>
      <c r="N135" s="115">
        <v>0</v>
      </c>
      <c r="R135" s="53">
        <v>0.75</v>
      </c>
      <c r="S135" s="120">
        <v>0</v>
      </c>
      <c r="T135" s="120">
        <v>0</v>
      </c>
      <c r="U135" s="120">
        <v>0</v>
      </c>
      <c r="V135" s="11">
        <f t="shared" si="21"/>
        <v>0.18264840182648401</v>
      </c>
      <c r="W135" s="11">
        <f t="shared" si="21"/>
        <v>0.18264840182648401</v>
      </c>
      <c r="X135" s="11">
        <f t="shared" si="21"/>
        <v>0.18264840182648401</v>
      </c>
      <c r="Y135" s="11">
        <f t="shared" si="21"/>
        <v>0.18264840182648401</v>
      </c>
      <c r="Z135" s="11">
        <f t="shared" si="21"/>
        <v>0.18264840182648401</v>
      </c>
      <c r="AA135" s="11">
        <f t="shared" si="21"/>
        <v>0.18264840182648401</v>
      </c>
      <c r="AB135" s="120">
        <v>0</v>
      </c>
      <c r="AC135" s="120">
        <v>0</v>
      </c>
      <c r="AD135" s="120">
        <v>0</v>
      </c>
    </row>
    <row r="136" spans="2:30" x14ac:dyDescent="0.2">
      <c r="B136" s="53">
        <v>0.79166666666666696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  <c r="I136" s="115">
        <v>0</v>
      </c>
      <c r="J136" s="115">
        <v>0</v>
      </c>
      <c r="K136" s="115">
        <v>0</v>
      </c>
      <c r="L136" s="115">
        <v>0</v>
      </c>
      <c r="M136" s="115">
        <v>0</v>
      </c>
      <c r="N136" s="115">
        <v>0</v>
      </c>
      <c r="R136" s="53">
        <v>0.79166666666666696</v>
      </c>
      <c r="S136" s="120">
        <v>0</v>
      </c>
      <c r="T136" s="120">
        <v>0</v>
      </c>
      <c r="U136" s="120">
        <v>0</v>
      </c>
      <c r="V136" s="120">
        <v>0</v>
      </c>
      <c r="W136" s="120">
        <v>0</v>
      </c>
      <c r="X136" s="120">
        <v>0</v>
      </c>
      <c r="Y136" s="120">
        <v>0</v>
      </c>
      <c r="Z136" s="120">
        <v>0</v>
      </c>
      <c r="AA136" s="120">
        <v>0</v>
      </c>
      <c r="AB136" s="120">
        <v>0</v>
      </c>
      <c r="AC136" s="120">
        <v>0</v>
      </c>
      <c r="AD136" s="120">
        <v>0</v>
      </c>
    </row>
    <row r="137" spans="2:30" x14ac:dyDescent="0.2">
      <c r="B137" s="53">
        <v>0.83333333333333304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  <c r="I137" s="115">
        <v>0</v>
      </c>
      <c r="J137" s="115">
        <v>0</v>
      </c>
      <c r="K137" s="115">
        <v>0</v>
      </c>
      <c r="L137" s="115">
        <v>0</v>
      </c>
      <c r="M137" s="115">
        <v>0</v>
      </c>
      <c r="N137" s="115">
        <v>0</v>
      </c>
      <c r="R137" s="53">
        <v>0.83333333333333304</v>
      </c>
      <c r="S137" s="120">
        <v>0</v>
      </c>
      <c r="T137" s="120">
        <v>0</v>
      </c>
      <c r="U137" s="120">
        <v>0</v>
      </c>
      <c r="V137" s="120">
        <v>0</v>
      </c>
      <c r="W137" s="120">
        <v>0</v>
      </c>
      <c r="X137" s="120">
        <v>0</v>
      </c>
      <c r="Y137" s="120">
        <v>0</v>
      </c>
      <c r="Z137" s="120">
        <v>0</v>
      </c>
      <c r="AA137" s="120">
        <v>0</v>
      </c>
      <c r="AB137" s="120">
        <v>0</v>
      </c>
      <c r="AC137" s="120">
        <v>0</v>
      </c>
      <c r="AD137" s="120">
        <v>0</v>
      </c>
    </row>
    <row r="138" spans="2:30" x14ac:dyDescent="0.2">
      <c r="B138" s="53">
        <v>0.875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  <c r="I138" s="115">
        <v>0</v>
      </c>
      <c r="J138" s="115">
        <v>0</v>
      </c>
      <c r="K138" s="115">
        <v>0</v>
      </c>
      <c r="L138" s="115">
        <v>0</v>
      </c>
      <c r="M138" s="115">
        <v>0</v>
      </c>
      <c r="N138" s="115">
        <v>0</v>
      </c>
      <c r="R138" s="53">
        <v>0.875</v>
      </c>
      <c r="S138" s="120">
        <v>0</v>
      </c>
      <c r="T138" s="120">
        <v>0</v>
      </c>
      <c r="U138" s="120">
        <v>0</v>
      </c>
      <c r="V138" s="120">
        <v>0</v>
      </c>
      <c r="W138" s="120">
        <v>0</v>
      </c>
      <c r="X138" s="120">
        <v>0</v>
      </c>
      <c r="Y138" s="120">
        <v>0</v>
      </c>
      <c r="Z138" s="120">
        <v>0</v>
      </c>
      <c r="AA138" s="120">
        <v>0</v>
      </c>
      <c r="AB138" s="120">
        <v>0</v>
      </c>
      <c r="AC138" s="120">
        <v>0</v>
      </c>
      <c r="AD138" s="120">
        <v>0</v>
      </c>
    </row>
    <row r="139" spans="2:30" x14ac:dyDescent="0.2">
      <c r="B139" s="53">
        <v>0.91666666666666696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  <c r="I139" s="115">
        <v>0</v>
      </c>
      <c r="J139" s="115">
        <v>0</v>
      </c>
      <c r="K139" s="115">
        <v>0</v>
      </c>
      <c r="L139" s="115">
        <v>0</v>
      </c>
      <c r="M139" s="115">
        <v>0</v>
      </c>
      <c r="N139" s="115">
        <v>0</v>
      </c>
      <c r="R139" s="53">
        <v>0.91666666666666696</v>
      </c>
      <c r="S139" s="120">
        <v>0</v>
      </c>
      <c r="T139" s="120">
        <v>0</v>
      </c>
      <c r="U139" s="120">
        <v>0</v>
      </c>
      <c r="V139" s="120">
        <v>0</v>
      </c>
      <c r="W139" s="120">
        <v>0</v>
      </c>
      <c r="X139" s="120">
        <v>0</v>
      </c>
      <c r="Y139" s="120">
        <v>0</v>
      </c>
      <c r="Z139" s="120">
        <v>0</v>
      </c>
      <c r="AA139" s="120">
        <v>0</v>
      </c>
      <c r="AB139" s="120">
        <v>0</v>
      </c>
      <c r="AC139" s="120">
        <v>0</v>
      </c>
      <c r="AD139" s="120">
        <v>0</v>
      </c>
    </row>
    <row r="140" spans="2:30" x14ac:dyDescent="0.2">
      <c r="B140" s="53">
        <v>0.95833333333333304</v>
      </c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  <c r="I140" s="115">
        <v>0</v>
      </c>
      <c r="J140" s="115">
        <v>0</v>
      </c>
      <c r="K140" s="115">
        <v>0</v>
      </c>
      <c r="L140" s="115">
        <v>0</v>
      </c>
      <c r="M140" s="115">
        <v>0</v>
      </c>
      <c r="N140" s="115">
        <v>0</v>
      </c>
      <c r="R140" s="53">
        <v>0.95833333333333304</v>
      </c>
      <c r="S140" s="120">
        <v>0</v>
      </c>
      <c r="T140" s="120">
        <v>0</v>
      </c>
      <c r="U140" s="120">
        <v>0</v>
      </c>
      <c r="V140" s="120">
        <v>0</v>
      </c>
      <c r="W140" s="120">
        <v>0</v>
      </c>
      <c r="X140" s="120">
        <v>0</v>
      </c>
      <c r="Y140" s="120">
        <v>0</v>
      </c>
      <c r="Z140" s="120">
        <v>0</v>
      </c>
      <c r="AA140" s="120">
        <v>0</v>
      </c>
      <c r="AB140" s="120">
        <v>0</v>
      </c>
      <c r="AC140" s="120">
        <v>0</v>
      </c>
      <c r="AD140" s="120">
        <v>0</v>
      </c>
    </row>
    <row r="141" spans="2:30" x14ac:dyDescent="0.2">
      <c r="C141" s="115">
        <f>SUM(C117:C140)</f>
        <v>6</v>
      </c>
      <c r="D141" s="115">
        <f t="shared" ref="D141:N141" si="23">SUM(D117:D140)</f>
        <v>6</v>
      </c>
      <c r="E141" s="115">
        <f t="shared" si="23"/>
        <v>6</v>
      </c>
      <c r="F141" s="115">
        <f t="shared" si="23"/>
        <v>6</v>
      </c>
      <c r="G141" s="115">
        <f t="shared" si="23"/>
        <v>6</v>
      </c>
      <c r="H141" s="115">
        <f t="shared" si="23"/>
        <v>6</v>
      </c>
      <c r="I141" s="115">
        <f t="shared" si="23"/>
        <v>6</v>
      </c>
      <c r="J141" s="115">
        <f t="shared" si="23"/>
        <v>6</v>
      </c>
      <c r="K141" s="115">
        <f t="shared" si="23"/>
        <v>6</v>
      </c>
      <c r="L141" s="115">
        <f t="shared" si="23"/>
        <v>6</v>
      </c>
      <c r="M141" s="115">
        <f t="shared" si="23"/>
        <v>6</v>
      </c>
      <c r="N141" s="115">
        <f t="shared" si="23"/>
        <v>6</v>
      </c>
      <c r="T141" s="120"/>
      <c r="U141" s="120"/>
      <c r="V141" s="120"/>
      <c r="W141" s="120"/>
      <c r="X141" s="120"/>
      <c r="Y141" s="120"/>
      <c r="Z141" s="120"/>
      <c r="AA141" s="120"/>
      <c r="AB141" s="120"/>
      <c r="AC141" s="120"/>
      <c r="AD141" s="120"/>
    </row>
    <row r="142" spans="2:30" x14ac:dyDescent="0.2">
      <c r="B142" s="53"/>
      <c r="C142" s="115"/>
      <c r="R142" s="53"/>
    </row>
    <row r="143" spans="2:30" x14ac:dyDescent="0.2">
      <c r="C143" s="64" t="s">
        <v>120</v>
      </c>
      <c r="D143" s="10" t="s">
        <v>121</v>
      </c>
      <c r="E143" s="10" t="s">
        <v>122</v>
      </c>
      <c r="F143" s="10" t="s">
        <v>123</v>
      </c>
      <c r="G143" s="10" t="s">
        <v>124</v>
      </c>
      <c r="H143" s="10" t="s">
        <v>125</v>
      </c>
      <c r="I143" s="10" t="s">
        <v>126</v>
      </c>
      <c r="J143" s="10" t="s">
        <v>231</v>
      </c>
      <c r="K143" s="10" t="s">
        <v>128</v>
      </c>
      <c r="L143" s="10" t="s">
        <v>129</v>
      </c>
      <c r="M143" s="10" t="s">
        <v>130</v>
      </c>
      <c r="N143" s="10" t="s">
        <v>131</v>
      </c>
      <c r="S143" s="119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</row>
    <row r="144" spans="2:30" x14ac:dyDescent="0.2">
      <c r="B144" s="53">
        <v>0</v>
      </c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  <c r="I144" s="115">
        <v>0</v>
      </c>
      <c r="J144" s="115">
        <v>0</v>
      </c>
      <c r="K144" s="115">
        <v>0</v>
      </c>
      <c r="L144" s="115">
        <v>0</v>
      </c>
      <c r="M144" s="115">
        <v>0</v>
      </c>
      <c r="N144" s="115">
        <v>0</v>
      </c>
      <c r="R144" s="53"/>
      <c r="T144" s="120"/>
      <c r="U144" s="120"/>
      <c r="V144" s="120"/>
      <c r="W144" s="120"/>
      <c r="X144" s="120"/>
      <c r="Y144" s="120"/>
      <c r="Z144" s="120"/>
      <c r="AA144" s="120"/>
      <c r="AB144" s="120"/>
      <c r="AC144" s="120"/>
      <c r="AD144" s="120"/>
    </row>
    <row r="145" spans="2:30" x14ac:dyDescent="0.2">
      <c r="B145" s="53">
        <v>4.1666666666666664E-2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  <c r="I145" s="115">
        <v>0</v>
      </c>
      <c r="J145" s="115">
        <v>0</v>
      </c>
      <c r="K145" s="115">
        <v>0</v>
      </c>
      <c r="L145" s="115">
        <v>0</v>
      </c>
      <c r="M145" s="115">
        <v>0</v>
      </c>
      <c r="N145" s="115">
        <v>0</v>
      </c>
      <c r="R145" s="53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AD145" s="120"/>
    </row>
    <row r="146" spans="2:30" x14ac:dyDescent="0.2">
      <c r="B146" s="53">
        <v>8.3333333333333301E-2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  <c r="I146" s="115">
        <v>0</v>
      </c>
      <c r="J146" s="115">
        <v>0</v>
      </c>
      <c r="K146" s="115">
        <v>0</v>
      </c>
      <c r="L146" s="115">
        <v>0</v>
      </c>
      <c r="M146" s="115">
        <v>0</v>
      </c>
      <c r="N146" s="115">
        <v>0</v>
      </c>
      <c r="R146" s="53"/>
      <c r="T146" s="120"/>
      <c r="U146" s="120"/>
      <c r="V146" s="120"/>
      <c r="W146" s="120"/>
      <c r="X146" s="120"/>
      <c r="Y146" s="120"/>
      <c r="Z146" s="120"/>
      <c r="AA146" s="120"/>
      <c r="AB146" s="120"/>
      <c r="AC146" s="120"/>
      <c r="AD146" s="120"/>
    </row>
    <row r="147" spans="2:30" x14ac:dyDescent="0.2">
      <c r="B147" s="53">
        <v>0.125</v>
      </c>
      <c r="C147" s="115">
        <v>0</v>
      </c>
      <c r="D147" s="115">
        <v>0</v>
      </c>
      <c r="E147" s="115">
        <v>0</v>
      </c>
      <c r="F147" s="115">
        <v>0</v>
      </c>
      <c r="G147" s="115">
        <v>0</v>
      </c>
      <c r="H147" s="115">
        <v>0</v>
      </c>
      <c r="I147" s="115">
        <v>0</v>
      </c>
      <c r="J147" s="115">
        <v>0</v>
      </c>
      <c r="K147" s="115">
        <v>0</v>
      </c>
      <c r="L147" s="115">
        <v>0</v>
      </c>
      <c r="M147" s="115">
        <v>0</v>
      </c>
      <c r="N147" s="115">
        <v>0</v>
      </c>
      <c r="R147" s="53"/>
      <c r="T147" s="120"/>
      <c r="U147" s="120"/>
      <c r="V147" s="120"/>
      <c r="W147" s="120"/>
      <c r="X147" s="120"/>
      <c r="Y147" s="120"/>
      <c r="Z147" s="120"/>
      <c r="AA147" s="120"/>
      <c r="AB147" s="120"/>
      <c r="AC147" s="120"/>
      <c r="AD147" s="120"/>
    </row>
    <row r="148" spans="2:30" x14ac:dyDescent="0.2">
      <c r="B148" s="53">
        <v>0.16666666666666699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  <c r="I148" s="115">
        <v>0</v>
      </c>
      <c r="J148" s="115">
        <v>0</v>
      </c>
      <c r="K148" s="115">
        <v>0</v>
      </c>
      <c r="L148" s="115">
        <v>0</v>
      </c>
      <c r="M148" s="115">
        <v>0</v>
      </c>
      <c r="N148" s="115">
        <v>0</v>
      </c>
      <c r="R148" s="53"/>
      <c r="T148" s="120"/>
      <c r="U148" s="120"/>
      <c r="V148" s="120"/>
      <c r="W148" s="120"/>
      <c r="X148" s="120"/>
      <c r="Y148" s="120"/>
      <c r="Z148" s="120"/>
      <c r="AA148" s="120"/>
      <c r="AB148" s="120"/>
      <c r="AC148" s="120"/>
      <c r="AD148" s="120"/>
    </row>
    <row r="149" spans="2:30" x14ac:dyDescent="0.2">
      <c r="B149" s="53">
        <v>0.20833333333333301</v>
      </c>
      <c r="C149" s="115">
        <v>0</v>
      </c>
      <c r="D149" s="115">
        <v>0</v>
      </c>
      <c r="E149" s="115">
        <v>0</v>
      </c>
      <c r="F149" s="115">
        <v>1</v>
      </c>
      <c r="G149" s="115">
        <v>1</v>
      </c>
      <c r="H149" s="115">
        <v>1</v>
      </c>
      <c r="I149" s="115">
        <v>1</v>
      </c>
      <c r="J149" s="115">
        <v>1</v>
      </c>
      <c r="K149" s="115">
        <v>1</v>
      </c>
      <c r="L149" s="115">
        <v>0</v>
      </c>
      <c r="M149" s="115">
        <v>0</v>
      </c>
      <c r="N149" s="115">
        <v>0</v>
      </c>
      <c r="R149" s="53"/>
      <c r="T149" s="120"/>
      <c r="U149" s="120"/>
      <c r="V149" s="120"/>
      <c r="W149" s="120"/>
      <c r="X149" s="120"/>
      <c r="Y149" s="120"/>
      <c r="Z149" s="120"/>
      <c r="AA149" s="120"/>
      <c r="AB149" s="120"/>
      <c r="AC149" s="120"/>
      <c r="AD149" s="120"/>
    </row>
    <row r="150" spans="2:30" x14ac:dyDescent="0.2">
      <c r="B150" s="53">
        <v>0.25</v>
      </c>
      <c r="C150" s="115">
        <v>0</v>
      </c>
      <c r="D150" s="115">
        <v>0</v>
      </c>
      <c r="E150" s="115">
        <v>1</v>
      </c>
      <c r="F150" s="115">
        <v>1</v>
      </c>
      <c r="G150" s="115">
        <v>1</v>
      </c>
      <c r="H150" s="115">
        <v>1</v>
      </c>
      <c r="I150" s="115">
        <v>1</v>
      </c>
      <c r="J150" s="115">
        <v>1</v>
      </c>
      <c r="K150" s="115">
        <v>1</v>
      </c>
      <c r="L150" s="115">
        <v>1</v>
      </c>
      <c r="M150" s="115">
        <v>0</v>
      </c>
      <c r="N150" s="115">
        <v>0</v>
      </c>
      <c r="R150" s="53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120"/>
    </row>
    <row r="151" spans="2:30" x14ac:dyDescent="0.2">
      <c r="B151" s="53">
        <v>0.29166666666666702</v>
      </c>
      <c r="C151" s="115">
        <v>1</v>
      </c>
      <c r="D151" s="115">
        <v>1</v>
      </c>
      <c r="E151" s="115">
        <v>1</v>
      </c>
      <c r="F151" s="115">
        <v>1</v>
      </c>
      <c r="G151" s="115">
        <v>1</v>
      </c>
      <c r="H151" s="115">
        <v>1</v>
      </c>
      <c r="I151" s="115">
        <v>1</v>
      </c>
      <c r="J151" s="115">
        <v>1</v>
      </c>
      <c r="K151" s="115">
        <v>1</v>
      </c>
      <c r="L151" s="115">
        <v>1</v>
      </c>
      <c r="M151" s="115">
        <v>1</v>
      </c>
      <c r="N151" s="115">
        <v>1</v>
      </c>
      <c r="R151" s="53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AD151" s="120"/>
    </row>
    <row r="152" spans="2:30" x14ac:dyDescent="0.2">
      <c r="B152" s="53">
        <v>0.33333333333333298</v>
      </c>
      <c r="C152" s="115">
        <v>1</v>
      </c>
      <c r="D152" s="115">
        <v>1</v>
      </c>
      <c r="E152" s="115">
        <v>1</v>
      </c>
      <c r="F152" s="115">
        <v>1</v>
      </c>
      <c r="G152" s="115">
        <v>1</v>
      </c>
      <c r="H152" s="115">
        <v>1</v>
      </c>
      <c r="I152" s="115">
        <v>1</v>
      </c>
      <c r="J152" s="115">
        <v>1</v>
      </c>
      <c r="K152" s="115">
        <v>1</v>
      </c>
      <c r="L152" s="115">
        <v>1</v>
      </c>
      <c r="M152" s="115">
        <v>1</v>
      </c>
      <c r="N152" s="115">
        <v>1</v>
      </c>
      <c r="R152" s="53"/>
      <c r="T152" s="120"/>
      <c r="U152" s="120"/>
      <c r="V152" s="120"/>
      <c r="W152" s="120"/>
      <c r="X152" s="120"/>
      <c r="Y152" s="120"/>
      <c r="Z152" s="120"/>
      <c r="AA152" s="120"/>
      <c r="AB152" s="120"/>
      <c r="AC152" s="120"/>
      <c r="AD152" s="120"/>
    </row>
    <row r="153" spans="2:30" x14ac:dyDescent="0.2">
      <c r="B153" s="53">
        <v>0.375</v>
      </c>
      <c r="C153" s="115">
        <v>1</v>
      </c>
      <c r="D153" s="115">
        <v>1</v>
      </c>
      <c r="E153" s="115">
        <v>1</v>
      </c>
      <c r="F153" s="115">
        <v>1</v>
      </c>
      <c r="G153" s="115">
        <v>1</v>
      </c>
      <c r="H153" s="115">
        <v>1</v>
      </c>
      <c r="I153" s="115">
        <v>1</v>
      </c>
      <c r="J153" s="115">
        <v>1</v>
      </c>
      <c r="K153" s="115">
        <v>1</v>
      </c>
      <c r="L153" s="115">
        <v>1</v>
      </c>
      <c r="M153" s="115">
        <v>1</v>
      </c>
      <c r="N153" s="115">
        <v>1</v>
      </c>
      <c r="R153" s="53"/>
      <c r="T153" s="120"/>
      <c r="U153" s="120"/>
      <c r="V153" s="120"/>
      <c r="W153" s="120"/>
      <c r="X153" s="120"/>
      <c r="Y153" s="120"/>
      <c r="Z153" s="120"/>
      <c r="AA153" s="120"/>
      <c r="AB153" s="120"/>
      <c r="AC153" s="120"/>
      <c r="AD153" s="120"/>
    </row>
    <row r="154" spans="2:30" x14ac:dyDescent="0.2">
      <c r="B154" s="53">
        <v>0.41666666666666702</v>
      </c>
      <c r="C154" s="115">
        <v>1</v>
      </c>
      <c r="D154" s="115">
        <v>1</v>
      </c>
      <c r="E154" s="115">
        <v>1</v>
      </c>
      <c r="F154" s="115">
        <v>1</v>
      </c>
      <c r="G154" s="115">
        <v>1</v>
      </c>
      <c r="H154" s="115">
        <v>1</v>
      </c>
      <c r="I154" s="115">
        <v>1</v>
      </c>
      <c r="J154" s="115">
        <v>1</v>
      </c>
      <c r="K154" s="115">
        <v>1</v>
      </c>
      <c r="L154" s="115">
        <v>1</v>
      </c>
      <c r="M154" s="115">
        <v>1</v>
      </c>
      <c r="N154" s="115">
        <v>1</v>
      </c>
      <c r="R154" s="53"/>
      <c r="T154" s="120"/>
      <c r="U154" s="120"/>
      <c r="V154" s="120"/>
      <c r="W154" s="120"/>
      <c r="X154" s="120"/>
      <c r="Y154" s="120"/>
      <c r="Z154" s="120"/>
      <c r="AA154" s="120"/>
      <c r="AB154" s="120"/>
      <c r="AC154" s="120"/>
      <c r="AD154" s="120"/>
    </row>
    <row r="155" spans="2:30" x14ac:dyDescent="0.2">
      <c r="B155" s="53">
        <v>0.45833333333333298</v>
      </c>
      <c r="C155" s="115">
        <v>1</v>
      </c>
      <c r="D155" s="115">
        <v>1</v>
      </c>
      <c r="E155" s="115">
        <v>1</v>
      </c>
      <c r="F155" s="115">
        <v>1</v>
      </c>
      <c r="G155" s="115">
        <v>1</v>
      </c>
      <c r="H155" s="115">
        <v>1</v>
      </c>
      <c r="I155" s="115">
        <v>1</v>
      </c>
      <c r="J155" s="115">
        <v>1</v>
      </c>
      <c r="K155" s="115">
        <v>1</v>
      </c>
      <c r="L155" s="115">
        <v>1</v>
      </c>
      <c r="M155" s="115">
        <v>1</v>
      </c>
      <c r="N155" s="115">
        <v>1</v>
      </c>
      <c r="R155" s="53"/>
      <c r="T155" s="120"/>
      <c r="U155" s="120"/>
      <c r="V155" s="120"/>
      <c r="W155" s="120"/>
      <c r="X155" s="120"/>
      <c r="Y155" s="120"/>
      <c r="Z155" s="120"/>
      <c r="AA155" s="120"/>
      <c r="AB155" s="120"/>
      <c r="AC155" s="120"/>
      <c r="AD155" s="120"/>
    </row>
    <row r="156" spans="2:30" x14ac:dyDescent="0.2">
      <c r="B156" s="53">
        <v>0.5</v>
      </c>
      <c r="C156" s="115">
        <v>1</v>
      </c>
      <c r="D156" s="115">
        <v>1</v>
      </c>
      <c r="E156" s="115">
        <v>1</v>
      </c>
      <c r="F156" s="115">
        <v>1</v>
      </c>
      <c r="G156" s="115">
        <v>1</v>
      </c>
      <c r="H156" s="115">
        <v>1</v>
      </c>
      <c r="I156" s="115">
        <v>1</v>
      </c>
      <c r="J156" s="115">
        <v>1</v>
      </c>
      <c r="K156" s="115">
        <v>1</v>
      </c>
      <c r="L156" s="115">
        <v>1</v>
      </c>
      <c r="M156" s="115">
        <v>1</v>
      </c>
      <c r="N156" s="115">
        <v>1</v>
      </c>
      <c r="R156" s="53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AD156" s="120"/>
    </row>
    <row r="157" spans="2:30" x14ac:dyDescent="0.2">
      <c r="B157" s="53">
        <v>0.54166666666666696</v>
      </c>
      <c r="C157" s="115">
        <v>1</v>
      </c>
      <c r="D157" s="115">
        <v>1</v>
      </c>
      <c r="E157" s="115">
        <v>1</v>
      </c>
      <c r="F157" s="115">
        <v>1</v>
      </c>
      <c r="G157" s="115">
        <v>1</v>
      </c>
      <c r="H157" s="115">
        <v>1</v>
      </c>
      <c r="I157" s="115">
        <v>1</v>
      </c>
      <c r="J157" s="115">
        <v>1</v>
      </c>
      <c r="K157" s="115">
        <v>1</v>
      </c>
      <c r="L157" s="115">
        <v>1</v>
      </c>
      <c r="M157" s="115">
        <v>1</v>
      </c>
      <c r="N157" s="115">
        <v>1</v>
      </c>
      <c r="R157" s="53"/>
      <c r="T157" s="120"/>
      <c r="U157" s="120"/>
      <c r="V157" s="120"/>
      <c r="W157" s="120"/>
      <c r="X157" s="120"/>
      <c r="Y157" s="120"/>
      <c r="Z157" s="120"/>
      <c r="AA157" s="120"/>
      <c r="AB157" s="120"/>
      <c r="AC157" s="120"/>
      <c r="AD157" s="120"/>
    </row>
    <row r="158" spans="2:30" x14ac:dyDescent="0.2">
      <c r="B158" s="53">
        <v>0.58333333333333304</v>
      </c>
      <c r="C158" s="115">
        <v>1</v>
      </c>
      <c r="D158" s="115">
        <v>1</v>
      </c>
      <c r="E158" s="115">
        <v>1</v>
      </c>
      <c r="F158" s="115">
        <v>1</v>
      </c>
      <c r="G158" s="115">
        <v>1</v>
      </c>
      <c r="H158" s="115">
        <v>1</v>
      </c>
      <c r="I158" s="115">
        <v>1</v>
      </c>
      <c r="J158" s="115">
        <v>1</v>
      </c>
      <c r="K158" s="115">
        <v>1</v>
      </c>
      <c r="L158" s="115">
        <v>1</v>
      </c>
      <c r="M158" s="115">
        <v>1</v>
      </c>
      <c r="N158" s="115">
        <v>1</v>
      </c>
      <c r="R158" s="53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  <c r="AD158" s="120"/>
    </row>
    <row r="159" spans="2:30" x14ac:dyDescent="0.2">
      <c r="B159" s="53">
        <v>0.625</v>
      </c>
      <c r="C159" s="115">
        <v>1</v>
      </c>
      <c r="D159" s="115">
        <v>1</v>
      </c>
      <c r="E159" s="115">
        <v>1</v>
      </c>
      <c r="F159" s="115">
        <v>1</v>
      </c>
      <c r="G159" s="115">
        <v>1</v>
      </c>
      <c r="H159" s="115">
        <v>1</v>
      </c>
      <c r="I159" s="115">
        <v>1</v>
      </c>
      <c r="J159" s="115">
        <v>1</v>
      </c>
      <c r="K159" s="115">
        <v>1</v>
      </c>
      <c r="L159" s="115">
        <v>1</v>
      </c>
      <c r="M159" s="115">
        <v>1</v>
      </c>
      <c r="N159" s="115">
        <v>1</v>
      </c>
      <c r="R159" s="53"/>
      <c r="T159" s="120"/>
      <c r="U159" s="120"/>
      <c r="V159" s="120"/>
      <c r="W159" s="120"/>
      <c r="X159" s="120"/>
      <c r="Y159" s="120"/>
      <c r="Z159" s="120"/>
      <c r="AA159" s="120"/>
      <c r="AB159" s="120"/>
      <c r="AC159" s="120"/>
      <c r="AD159" s="120"/>
    </row>
    <row r="160" spans="2:30" x14ac:dyDescent="0.2">
      <c r="B160" s="53">
        <v>0.66666666666666696</v>
      </c>
      <c r="C160" s="115">
        <v>1</v>
      </c>
      <c r="D160" s="115">
        <v>1</v>
      </c>
      <c r="E160" s="115">
        <v>1</v>
      </c>
      <c r="F160" s="115">
        <v>1</v>
      </c>
      <c r="G160" s="115">
        <v>1</v>
      </c>
      <c r="H160" s="115">
        <v>1</v>
      </c>
      <c r="I160" s="115">
        <v>1</v>
      </c>
      <c r="J160" s="115">
        <v>1</v>
      </c>
      <c r="K160" s="115">
        <v>1</v>
      </c>
      <c r="L160" s="115">
        <v>1</v>
      </c>
      <c r="M160" s="115">
        <v>1</v>
      </c>
      <c r="N160" s="115">
        <v>1</v>
      </c>
      <c r="R160" s="53"/>
      <c r="T160" s="120"/>
      <c r="U160" s="120"/>
      <c r="V160" s="120"/>
      <c r="W160" s="120"/>
      <c r="X160" s="120"/>
      <c r="Y160" s="120"/>
      <c r="Z160" s="120"/>
      <c r="AA160" s="120"/>
      <c r="AB160" s="120"/>
      <c r="AC160" s="120"/>
      <c r="AD160" s="120"/>
    </row>
    <row r="161" spans="2:30" x14ac:dyDescent="0.2">
      <c r="B161" s="53">
        <v>0.70833333333333304</v>
      </c>
      <c r="C161" s="115">
        <v>0</v>
      </c>
      <c r="D161" s="115">
        <v>0</v>
      </c>
      <c r="E161" s="115">
        <v>1</v>
      </c>
      <c r="F161" s="115">
        <v>1</v>
      </c>
      <c r="G161" s="115">
        <v>1</v>
      </c>
      <c r="H161" s="115">
        <v>1</v>
      </c>
      <c r="I161" s="115">
        <v>1</v>
      </c>
      <c r="J161" s="115">
        <v>1</v>
      </c>
      <c r="K161" s="115">
        <v>1</v>
      </c>
      <c r="L161" s="115">
        <v>1</v>
      </c>
      <c r="M161" s="115">
        <v>0</v>
      </c>
      <c r="N161" s="115">
        <v>0</v>
      </c>
      <c r="R161" s="53"/>
      <c r="T161" s="120"/>
      <c r="U161" s="120"/>
      <c r="V161" s="120"/>
      <c r="W161" s="120"/>
      <c r="X161" s="120"/>
      <c r="Y161" s="120"/>
      <c r="Z161" s="120"/>
      <c r="AA161" s="120"/>
      <c r="AB161" s="120"/>
      <c r="AC161" s="120"/>
      <c r="AD161" s="120"/>
    </row>
    <row r="162" spans="2:30" x14ac:dyDescent="0.2">
      <c r="B162" s="53">
        <v>0.75</v>
      </c>
      <c r="C162" s="115">
        <v>0</v>
      </c>
      <c r="D162" s="115">
        <v>0</v>
      </c>
      <c r="E162" s="115">
        <v>0</v>
      </c>
      <c r="F162" s="115">
        <v>1</v>
      </c>
      <c r="G162" s="115">
        <v>1</v>
      </c>
      <c r="H162" s="115">
        <v>1</v>
      </c>
      <c r="I162" s="115">
        <v>1</v>
      </c>
      <c r="J162" s="115">
        <v>1</v>
      </c>
      <c r="K162" s="115">
        <v>1</v>
      </c>
      <c r="L162" s="115">
        <v>0</v>
      </c>
      <c r="M162" s="115">
        <v>0</v>
      </c>
      <c r="N162" s="115">
        <v>0</v>
      </c>
      <c r="R162" s="53"/>
      <c r="T162" s="120"/>
      <c r="U162" s="120"/>
      <c r="V162" s="120"/>
      <c r="W162" s="120"/>
      <c r="X162" s="120"/>
      <c r="Y162" s="120"/>
      <c r="Z162" s="120"/>
      <c r="AA162" s="120"/>
      <c r="AB162" s="120"/>
      <c r="AC162" s="120"/>
      <c r="AD162" s="120"/>
    </row>
    <row r="163" spans="2:30" x14ac:dyDescent="0.2">
      <c r="B163" s="53">
        <v>0.79166666666666696</v>
      </c>
      <c r="C163" s="115">
        <v>0</v>
      </c>
      <c r="D163" s="115">
        <v>0</v>
      </c>
      <c r="E163" s="115">
        <v>0</v>
      </c>
      <c r="F163" s="115">
        <v>0</v>
      </c>
      <c r="G163" s="115">
        <v>0</v>
      </c>
      <c r="H163" s="115">
        <v>0</v>
      </c>
      <c r="I163" s="115">
        <v>0</v>
      </c>
      <c r="J163" s="115">
        <v>0</v>
      </c>
      <c r="K163" s="115">
        <v>0</v>
      </c>
      <c r="L163" s="115">
        <v>0</v>
      </c>
      <c r="M163" s="115">
        <v>0</v>
      </c>
      <c r="N163" s="115">
        <v>0</v>
      </c>
      <c r="R163" s="53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AD163" s="120"/>
    </row>
    <row r="164" spans="2:30" x14ac:dyDescent="0.2">
      <c r="B164" s="53">
        <v>0.83333333333333304</v>
      </c>
      <c r="C164" s="115">
        <v>0</v>
      </c>
      <c r="D164" s="115">
        <v>0</v>
      </c>
      <c r="E164" s="115">
        <v>0</v>
      </c>
      <c r="F164" s="115">
        <v>0</v>
      </c>
      <c r="G164" s="115">
        <v>0</v>
      </c>
      <c r="H164" s="115">
        <v>0</v>
      </c>
      <c r="I164" s="115">
        <v>0</v>
      </c>
      <c r="J164" s="115">
        <v>0</v>
      </c>
      <c r="K164" s="115">
        <v>0</v>
      </c>
      <c r="L164" s="115">
        <v>0</v>
      </c>
      <c r="M164" s="115">
        <v>0</v>
      </c>
      <c r="N164" s="115">
        <v>0</v>
      </c>
      <c r="R164" s="53"/>
      <c r="T164" s="120"/>
      <c r="U164" s="120"/>
      <c r="V164" s="120"/>
      <c r="W164" s="120"/>
      <c r="X164" s="120"/>
      <c r="Y164" s="120"/>
      <c r="Z164" s="120"/>
      <c r="AA164" s="120"/>
      <c r="AB164" s="120"/>
      <c r="AC164" s="120"/>
      <c r="AD164" s="120"/>
    </row>
    <row r="165" spans="2:30" x14ac:dyDescent="0.2">
      <c r="B165" s="53">
        <v>0.875</v>
      </c>
      <c r="C165" s="115">
        <v>0</v>
      </c>
      <c r="D165" s="115">
        <v>0</v>
      </c>
      <c r="E165" s="115">
        <v>0</v>
      </c>
      <c r="F165" s="115">
        <v>0</v>
      </c>
      <c r="G165" s="115">
        <v>0</v>
      </c>
      <c r="H165" s="115">
        <v>0</v>
      </c>
      <c r="I165" s="115">
        <v>0</v>
      </c>
      <c r="J165" s="115">
        <v>0</v>
      </c>
      <c r="K165" s="115">
        <v>0</v>
      </c>
      <c r="L165" s="115">
        <v>0</v>
      </c>
      <c r="M165" s="115">
        <v>0</v>
      </c>
      <c r="N165" s="115">
        <v>0</v>
      </c>
      <c r="R165" s="53"/>
      <c r="T165" s="120"/>
      <c r="U165" s="120"/>
      <c r="V165" s="120"/>
      <c r="W165" s="120"/>
      <c r="X165" s="120"/>
      <c r="Y165" s="120"/>
      <c r="Z165" s="120"/>
      <c r="AA165" s="120"/>
      <c r="AB165" s="120"/>
      <c r="AC165" s="120"/>
      <c r="AD165" s="120"/>
    </row>
    <row r="166" spans="2:30" x14ac:dyDescent="0.2">
      <c r="B166" s="53">
        <v>0.91666666666666696</v>
      </c>
      <c r="C166" s="115">
        <v>0</v>
      </c>
      <c r="D166" s="115">
        <v>0</v>
      </c>
      <c r="E166" s="115">
        <v>0</v>
      </c>
      <c r="F166" s="115">
        <v>0</v>
      </c>
      <c r="G166" s="115">
        <v>0</v>
      </c>
      <c r="H166" s="115">
        <v>0</v>
      </c>
      <c r="I166" s="115">
        <v>0</v>
      </c>
      <c r="J166" s="115">
        <v>0</v>
      </c>
      <c r="K166" s="115">
        <v>0</v>
      </c>
      <c r="L166" s="115">
        <v>0</v>
      </c>
      <c r="M166" s="115">
        <v>0</v>
      </c>
      <c r="N166" s="115">
        <v>0</v>
      </c>
      <c r="R166" s="53"/>
      <c r="T166" s="120"/>
      <c r="U166" s="120"/>
      <c r="V166" s="120"/>
      <c r="W166" s="120"/>
      <c r="X166" s="120"/>
      <c r="Y166" s="120"/>
      <c r="Z166" s="120"/>
      <c r="AA166" s="120"/>
      <c r="AB166" s="120"/>
      <c r="AC166" s="120"/>
      <c r="AD166" s="120"/>
    </row>
    <row r="167" spans="2:30" x14ac:dyDescent="0.2">
      <c r="B167" s="53">
        <v>0.95833333333333304</v>
      </c>
      <c r="C167" s="115">
        <v>0</v>
      </c>
      <c r="D167" s="115">
        <v>0</v>
      </c>
      <c r="E167" s="115">
        <v>0</v>
      </c>
      <c r="F167" s="115">
        <v>0</v>
      </c>
      <c r="G167" s="115">
        <v>0</v>
      </c>
      <c r="H167" s="115">
        <v>0</v>
      </c>
      <c r="I167" s="115">
        <v>0</v>
      </c>
      <c r="J167" s="115">
        <v>0</v>
      </c>
      <c r="K167" s="115">
        <v>0</v>
      </c>
      <c r="L167" s="115">
        <v>0</v>
      </c>
      <c r="M167" s="115">
        <v>0</v>
      </c>
      <c r="N167" s="115">
        <v>0</v>
      </c>
      <c r="R167" s="53"/>
      <c r="T167" s="120"/>
      <c r="U167" s="120"/>
      <c r="V167" s="120"/>
      <c r="W167" s="120"/>
      <c r="X167" s="120"/>
      <c r="Y167" s="120"/>
      <c r="Z167" s="120"/>
      <c r="AA167" s="120"/>
      <c r="AB167" s="120"/>
      <c r="AC167" s="120"/>
      <c r="AD167" s="120"/>
    </row>
    <row r="168" spans="2:30" x14ac:dyDescent="0.2">
      <c r="C168" s="51">
        <f>SUM(C144:C167)</f>
        <v>10</v>
      </c>
      <c r="D168" s="61">
        <f t="shared" ref="D168:G168" si="24">SUM(D144:D167)</f>
        <v>10</v>
      </c>
      <c r="E168" s="61">
        <f t="shared" si="24"/>
        <v>12</v>
      </c>
      <c r="F168" s="61">
        <f t="shared" si="24"/>
        <v>14</v>
      </c>
      <c r="G168" s="61">
        <f t="shared" si="24"/>
        <v>14</v>
      </c>
      <c r="H168" s="61">
        <f t="shared" ref="H168" si="25">SUM(H144:H167)</f>
        <v>14</v>
      </c>
      <c r="I168" s="61">
        <f t="shared" ref="I168" si="26">SUM(I144:I167)</f>
        <v>14</v>
      </c>
      <c r="J168" s="61">
        <f t="shared" ref="J168:K168" si="27">SUM(J144:J167)</f>
        <v>14</v>
      </c>
      <c r="K168" s="61">
        <f t="shared" si="27"/>
        <v>14</v>
      </c>
      <c r="L168" s="61">
        <f t="shared" ref="L168" si="28">SUM(L144:L167)</f>
        <v>12</v>
      </c>
      <c r="M168" s="61">
        <f t="shared" ref="M168" si="29">SUM(M144:M167)</f>
        <v>10</v>
      </c>
      <c r="N168" s="61">
        <f t="shared" ref="N168" si="30">SUM(N144:N167)</f>
        <v>10</v>
      </c>
      <c r="T168" s="120"/>
      <c r="U168" s="120"/>
      <c r="V168" s="120"/>
      <c r="W168" s="120"/>
      <c r="X168" s="120"/>
      <c r="Y168" s="120"/>
      <c r="Z168" s="120"/>
      <c r="AA168" s="120"/>
      <c r="AB168" s="120"/>
      <c r="AC168" s="120"/>
      <c r="AD168" s="120"/>
    </row>
  </sheetData>
  <phoneticPr fontId="7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4"/>
  <sheetViews>
    <sheetView workbookViewId="0">
      <selection activeCell="D2" sqref="D2:E22"/>
    </sheetView>
  </sheetViews>
  <sheetFormatPr defaultRowHeight="12.75" x14ac:dyDescent="0.2"/>
  <cols>
    <col min="1" max="1" width="9.5" style="60" bestFit="1" customWidth="1"/>
    <col min="2" max="2" width="9.6640625" style="60" bestFit="1" customWidth="1"/>
    <col min="3" max="3" width="9.33203125" style="10"/>
    <col min="4" max="4" width="11.6640625" style="60" customWidth="1"/>
    <col min="5" max="5" width="9.6640625" style="60" bestFit="1" customWidth="1"/>
    <col min="6" max="7" width="9.33203125" style="10"/>
  </cols>
  <sheetData>
    <row r="1" spans="1:6" x14ac:dyDescent="0.2">
      <c r="A1" s="60" t="s">
        <v>89</v>
      </c>
      <c r="D1" s="60" t="s">
        <v>90</v>
      </c>
    </row>
    <row r="2" spans="1:6" x14ac:dyDescent="0.2">
      <c r="A2" s="112">
        <v>438209.75</v>
      </c>
      <c r="B2" s="112">
        <v>3697888.11</v>
      </c>
      <c r="C2" s="10">
        <f>+((A2-A3)^2+(B2-B3)^2)^0.5</f>
        <v>83.767479370296584</v>
      </c>
      <c r="D2" s="112">
        <v>438209.75</v>
      </c>
      <c r="E2" s="112">
        <v>3697888.11</v>
      </c>
      <c r="F2" s="10">
        <f>+((D2-D3)^2+(E2-E3)^2)^0.5</f>
        <v>99.592643302734075</v>
      </c>
    </row>
    <row r="3" spans="1:6" x14ac:dyDescent="0.2">
      <c r="A3" s="112">
        <v>438215.2</v>
      </c>
      <c r="B3" s="112">
        <v>3697971.7</v>
      </c>
      <c r="C3" s="10">
        <f t="shared" ref="C3" si="0">+((A3-A4)^2+(B3-B4)^2)^0.5</f>
        <v>9.5</v>
      </c>
      <c r="D3" s="112">
        <v>438216.1</v>
      </c>
      <c r="E3" s="112">
        <v>3697987.5</v>
      </c>
      <c r="F3" s="10">
        <f t="shared" ref="F3:F21" si="1">+((D3-D4)^2+(E3-E4)^2)^0.5</f>
        <v>8.5000000001835261</v>
      </c>
    </row>
    <row r="4" spans="1:6" x14ac:dyDescent="0.2">
      <c r="A4" s="112">
        <v>438224.7</v>
      </c>
      <c r="B4" s="112">
        <v>3697971.7</v>
      </c>
      <c r="D4" s="112">
        <v>438219.7</v>
      </c>
      <c r="E4" s="112">
        <v>3697995.2</v>
      </c>
      <c r="F4" s="10">
        <f t="shared" si="1"/>
        <v>10.499523798604717</v>
      </c>
    </row>
    <row r="5" spans="1:6" x14ac:dyDescent="0.2">
      <c r="A5" s="110"/>
      <c r="B5" s="110"/>
      <c r="D5" s="112">
        <v>438227.7</v>
      </c>
      <c r="E5" s="112">
        <v>3698002</v>
      </c>
      <c r="F5" s="10">
        <f t="shared" si="1"/>
        <v>7.723341245878693</v>
      </c>
    </row>
    <row r="6" spans="1:6" x14ac:dyDescent="0.2">
      <c r="A6" s="110"/>
      <c r="B6" s="110"/>
      <c r="D6" s="112">
        <v>438235.4</v>
      </c>
      <c r="E6" s="112">
        <v>3698002.6</v>
      </c>
      <c r="F6" s="10">
        <f t="shared" si="1"/>
        <v>19.609181522929482</v>
      </c>
    </row>
    <row r="7" spans="1:6" x14ac:dyDescent="0.2">
      <c r="A7" s="110"/>
      <c r="B7" s="110"/>
      <c r="D7" s="112">
        <v>438255</v>
      </c>
      <c r="E7" s="112">
        <v>3698003.2</v>
      </c>
      <c r="F7" s="10">
        <f t="shared" si="1"/>
        <v>9.7739449558851561</v>
      </c>
    </row>
    <row r="8" spans="1:6" x14ac:dyDescent="0.2">
      <c r="A8" s="110"/>
      <c r="B8" s="110"/>
      <c r="D8" s="60">
        <v>438264.7</v>
      </c>
      <c r="E8" s="60">
        <v>3698002</v>
      </c>
      <c r="F8" s="10">
        <f t="shared" si="1"/>
        <v>14.72582765074049</v>
      </c>
    </row>
    <row r="9" spans="1:6" x14ac:dyDescent="0.2">
      <c r="A9" s="110"/>
      <c r="B9" s="110"/>
      <c r="D9" s="60">
        <v>438278.40000000002</v>
      </c>
      <c r="E9" s="60">
        <v>3697996.6</v>
      </c>
      <c r="F9" s="10">
        <f t="shared" si="1"/>
        <v>9.2314679221979876</v>
      </c>
    </row>
    <row r="10" spans="1:6" x14ac:dyDescent="0.2">
      <c r="A10" s="110"/>
      <c r="B10" s="110"/>
      <c r="D10" s="113">
        <v>438285.5</v>
      </c>
      <c r="E10" s="113">
        <v>3697990.7</v>
      </c>
      <c r="F10" s="10">
        <f t="shared" si="1"/>
        <v>11.141364369113541</v>
      </c>
    </row>
    <row r="11" spans="1:6" x14ac:dyDescent="0.2">
      <c r="A11" s="110"/>
      <c r="B11" s="110"/>
      <c r="D11" s="60">
        <v>438290.8</v>
      </c>
      <c r="E11" s="60">
        <v>3697980.9</v>
      </c>
      <c r="F11" s="10">
        <f t="shared" si="1"/>
        <v>11.799999999813735</v>
      </c>
    </row>
    <row r="12" spans="1:6" x14ac:dyDescent="0.2">
      <c r="A12" s="110"/>
      <c r="B12" s="110"/>
      <c r="D12" s="60">
        <v>438290.8</v>
      </c>
      <c r="E12" s="60">
        <v>3697969.1</v>
      </c>
      <c r="F12" s="10">
        <f t="shared" si="1"/>
        <v>10.066280346057455</v>
      </c>
    </row>
    <row r="13" spans="1:6" x14ac:dyDescent="0.2">
      <c r="A13" s="68"/>
      <c r="B13" s="68"/>
      <c r="D13" s="60">
        <v>438288.5</v>
      </c>
      <c r="E13" s="60">
        <v>3697959.3</v>
      </c>
      <c r="F13" s="10">
        <f t="shared" si="1"/>
        <v>8.8204308283955086</v>
      </c>
    </row>
    <row r="14" spans="1:6" x14ac:dyDescent="0.2">
      <c r="A14" s="72"/>
      <c r="B14" s="72"/>
      <c r="D14" s="114">
        <v>438283.7</v>
      </c>
      <c r="E14" s="114">
        <v>3697951.9</v>
      </c>
      <c r="F14" s="10">
        <f t="shared" si="1"/>
        <v>9.4047860155972423</v>
      </c>
    </row>
    <row r="15" spans="1:6" x14ac:dyDescent="0.2">
      <c r="A15" s="68"/>
      <c r="B15" s="68"/>
      <c r="D15" s="60">
        <v>438276</v>
      </c>
      <c r="E15" s="60">
        <v>3697946.5</v>
      </c>
      <c r="F15" s="10">
        <f t="shared" si="1"/>
        <v>8.33846508665542</v>
      </c>
    </row>
    <row r="16" spans="1:6" x14ac:dyDescent="0.2">
      <c r="A16" s="62"/>
      <c r="B16" s="62"/>
      <c r="D16" s="60">
        <v>438268.3</v>
      </c>
      <c r="E16" s="60">
        <v>3697943.3</v>
      </c>
      <c r="F16" s="10">
        <f t="shared" si="1"/>
        <v>26.406817301555087</v>
      </c>
    </row>
    <row r="17" spans="3:6" x14ac:dyDescent="0.2">
      <c r="C17" s="10">
        <f>SUM(C2:C15)</f>
        <v>93.267479370296584</v>
      </c>
      <c r="D17" s="60">
        <v>438241.9</v>
      </c>
      <c r="E17" s="60">
        <v>3697942.7</v>
      </c>
      <c r="F17" s="10">
        <f t="shared" si="1"/>
        <v>11.11260545507889</v>
      </c>
    </row>
    <row r="18" spans="3:6" x14ac:dyDescent="0.2">
      <c r="D18" s="60">
        <v>438231.2</v>
      </c>
      <c r="E18" s="60">
        <v>3697939.7</v>
      </c>
      <c r="F18" s="10">
        <f t="shared" si="1"/>
        <v>7.5292761937734367</v>
      </c>
    </row>
    <row r="19" spans="3:6" x14ac:dyDescent="0.2">
      <c r="D19" s="112">
        <v>438224.7</v>
      </c>
      <c r="E19" s="112">
        <v>3697935.9</v>
      </c>
      <c r="F19" s="10">
        <f t="shared" si="1"/>
        <v>7.840918313460242</v>
      </c>
    </row>
    <row r="20" spans="3:6" x14ac:dyDescent="0.2">
      <c r="D20" s="60">
        <v>438218.5</v>
      </c>
      <c r="E20" s="60">
        <v>3697931.1</v>
      </c>
      <c r="F20" s="10">
        <f t="shared" si="1"/>
        <v>10.307764064044152</v>
      </c>
    </row>
    <row r="21" spans="3:6" x14ac:dyDescent="0.2">
      <c r="D21" s="60">
        <v>438212</v>
      </c>
      <c r="E21" s="60">
        <v>3697923.1</v>
      </c>
      <c r="F21" s="10">
        <f t="shared" si="1"/>
        <v>35.062267468257694</v>
      </c>
    </row>
    <row r="22" spans="3:6" x14ac:dyDescent="0.2">
      <c r="D22" s="112">
        <v>438209.75</v>
      </c>
      <c r="E22" s="112">
        <v>3697888.11</v>
      </c>
    </row>
    <row r="24" spans="3:6" x14ac:dyDescent="0.2">
      <c r="F24" s="10">
        <f>SUM(F2:F21)</f>
        <v>337.48690584095647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6093B-5378-4EB9-9B64-8B7431AD4D1B}">
  <dimension ref="A1:C5"/>
  <sheetViews>
    <sheetView workbookViewId="0">
      <selection activeCell="C8" sqref="C8"/>
    </sheetView>
  </sheetViews>
  <sheetFormatPr defaultRowHeight="12.75" x14ac:dyDescent="0.2"/>
  <cols>
    <col min="1" max="1" width="23.1640625" customWidth="1"/>
    <col min="2" max="2" width="21.1640625" customWidth="1"/>
    <col min="3" max="3" width="22.83203125" customWidth="1"/>
  </cols>
  <sheetData>
    <row r="1" spans="1:3" x14ac:dyDescent="0.2">
      <c r="A1" s="115"/>
      <c r="B1" s="115"/>
      <c r="C1" s="115"/>
    </row>
    <row r="2" spans="1:3" x14ac:dyDescent="0.2">
      <c r="A2" s="116" t="s">
        <v>237</v>
      </c>
      <c r="B2" s="116" t="s">
        <v>236</v>
      </c>
      <c r="C2" s="116" t="s">
        <v>238</v>
      </c>
    </row>
    <row r="3" spans="1:3" x14ac:dyDescent="0.2">
      <c r="A3" s="117" t="s">
        <v>229</v>
      </c>
      <c r="B3" s="118" t="s">
        <v>233</v>
      </c>
      <c r="C3" s="2">
        <v>750</v>
      </c>
    </row>
    <row r="4" spans="1:3" x14ac:dyDescent="0.2">
      <c r="A4" s="117" t="s">
        <v>230</v>
      </c>
      <c r="B4" s="118" t="s">
        <v>234</v>
      </c>
      <c r="C4" s="2">
        <v>750</v>
      </c>
    </row>
    <row r="5" spans="1:3" x14ac:dyDescent="0.2">
      <c r="A5" s="117" t="s">
        <v>232</v>
      </c>
      <c r="B5" s="118" t="s">
        <v>235</v>
      </c>
      <c r="C5" s="2">
        <v>750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A9CBF-E54A-46BA-9541-AD1F245B633F}">
  <dimension ref="A1:K73"/>
  <sheetViews>
    <sheetView topLeftCell="A50" workbookViewId="0">
      <selection activeCell="J73" sqref="J73"/>
    </sheetView>
  </sheetViews>
  <sheetFormatPr defaultRowHeight="12.75" x14ac:dyDescent="0.2"/>
  <cols>
    <col min="3" max="3" width="15.1640625" customWidth="1"/>
    <col min="5" max="5" width="13" customWidth="1"/>
    <col min="7" max="7" width="12.33203125" customWidth="1"/>
  </cols>
  <sheetData>
    <row r="1" spans="1:9" x14ac:dyDescent="0.2">
      <c r="A1" s="152" t="s">
        <v>201</v>
      </c>
      <c r="B1" s="152"/>
      <c r="C1" s="152"/>
      <c r="D1" s="152"/>
      <c r="E1" s="152"/>
      <c r="F1" s="152"/>
      <c r="G1" s="152"/>
      <c r="H1" s="152"/>
      <c r="I1" s="152"/>
    </row>
    <row r="2" spans="1:9" x14ac:dyDescent="0.2">
      <c r="A2" t="s">
        <v>30</v>
      </c>
    </row>
    <row r="3" spans="1:9" x14ac:dyDescent="0.2">
      <c r="A3" s="139" t="s">
        <v>202</v>
      </c>
      <c r="B3" s="139"/>
      <c r="C3" s="139"/>
      <c r="E3" s="152" t="s">
        <v>57</v>
      </c>
      <c r="F3" s="152"/>
      <c r="G3" s="152"/>
      <c r="H3" s="152"/>
    </row>
    <row r="5" spans="1:9" x14ac:dyDescent="0.2">
      <c r="A5" t="s">
        <v>203</v>
      </c>
      <c r="C5">
        <v>4.9000000000000004</v>
      </c>
    </row>
    <row r="6" spans="1:9" x14ac:dyDescent="0.2">
      <c r="A6" t="s">
        <v>31</v>
      </c>
      <c r="C6">
        <v>1.5</v>
      </c>
    </row>
    <row r="7" spans="1:9" x14ac:dyDescent="0.2">
      <c r="A7" t="s">
        <v>204</v>
      </c>
      <c r="C7">
        <v>0.15</v>
      </c>
    </row>
    <row r="8" spans="1:9" x14ac:dyDescent="0.2">
      <c r="A8" t="s">
        <v>205</v>
      </c>
      <c r="C8">
        <v>0.7</v>
      </c>
    </row>
    <row r="9" spans="1:9" x14ac:dyDescent="0.2">
      <c r="A9" t="s">
        <v>206</v>
      </c>
      <c r="C9">
        <v>0.9</v>
      </c>
    </row>
    <row r="10" spans="1:9" x14ac:dyDescent="0.2">
      <c r="A10" t="s">
        <v>207</v>
      </c>
      <c r="C10">
        <v>0.9</v>
      </c>
    </row>
    <row r="11" spans="1:9" x14ac:dyDescent="0.2">
      <c r="A11" t="s">
        <v>208</v>
      </c>
      <c r="C11">
        <v>0.45</v>
      </c>
    </row>
    <row r="12" spans="1:9" x14ac:dyDescent="0.2">
      <c r="A12" t="s">
        <v>209</v>
      </c>
      <c r="C12">
        <v>0.45</v>
      </c>
    </row>
    <row r="13" spans="1:9" x14ac:dyDescent="0.2">
      <c r="A13" t="s">
        <v>210</v>
      </c>
      <c r="C13">
        <v>0.45</v>
      </c>
    </row>
    <row r="14" spans="1:9" x14ac:dyDescent="0.2">
      <c r="A14" t="s">
        <v>211</v>
      </c>
      <c r="C14">
        <v>4.8</v>
      </c>
      <c r="D14" t="s">
        <v>9</v>
      </c>
      <c r="E14" t="s">
        <v>212</v>
      </c>
    </row>
    <row r="15" spans="1:9" x14ac:dyDescent="0.2">
      <c r="A15" t="s">
        <v>213</v>
      </c>
      <c r="C15">
        <v>70</v>
      </c>
      <c r="D15" t="s">
        <v>214</v>
      </c>
      <c r="E15" t="s">
        <v>215</v>
      </c>
    </row>
    <row r="16" spans="1:9" x14ac:dyDescent="0.2">
      <c r="A16" t="s">
        <v>216</v>
      </c>
      <c r="D16">
        <v>95</v>
      </c>
      <c r="E16" t="s">
        <v>9</v>
      </c>
      <c r="F16" t="s">
        <v>217</v>
      </c>
    </row>
    <row r="18" spans="1:9" x14ac:dyDescent="0.2">
      <c r="A18" t="s">
        <v>12</v>
      </c>
      <c r="D18" s="30">
        <v>93.267479370296584</v>
      </c>
      <c r="E18" t="s">
        <v>135</v>
      </c>
      <c r="G18" s="1">
        <v>0.11593223041677636</v>
      </c>
      <c r="H18" t="s">
        <v>111</v>
      </c>
    </row>
    <row r="19" spans="1:9" x14ac:dyDescent="0.2">
      <c r="A19" t="s">
        <v>13</v>
      </c>
      <c r="D19" s="30">
        <v>93.267479370296584</v>
      </c>
      <c r="E19" t="s">
        <v>135</v>
      </c>
      <c r="G19" s="1">
        <v>0.11593223041677636</v>
      </c>
      <c r="H19" t="s">
        <v>111</v>
      </c>
    </row>
    <row r="20" spans="1:9" x14ac:dyDescent="0.2">
      <c r="A20" t="s">
        <v>14</v>
      </c>
      <c r="D20" s="30">
        <v>337.48690584095647</v>
      </c>
      <c r="E20" t="s">
        <v>135</v>
      </c>
      <c r="G20" s="1">
        <v>0.20974947535174424</v>
      </c>
      <c r="H20" t="s">
        <v>111</v>
      </c>
    </row>
    <row r="21" spans="1:9" x14ac:dyDescent="0.2">
      <c r="A21" t="s">
        <v>15</v>
      </c>
      <c r="D21" s="30">
        <v>93.267479370296584</v>
      </c>
      <c r="E21" t="s">
        <v>135</v>
      </c>
      <c r="G21" s="1">
        <v>0.11593223041677636</v>
      </c>
      <c r="H21" t="s">
        <v>111</v>
      </c>
    </row>
    <row r="22" spans="1:9" x14ac:dyDescent="0.2">
      <c r="A22" t="s">
        <v>219</v>
      </c>
      <c r="D22" s="30">
        <v>337.48690584095647</v>
      </c>
      <c r="E22" t="s">
        <v>135</v>
      </c>
      <c r="G22" s="1">
        <v>0.20974947535174424</v>
      </c>
      <c r="H22" t="s">
        <v>111</v>
      </c>
    </row>
    <row r="24" spans="1:9" x14ac:dyDescent="0.2">
      <c r="A24" t="s">
        <v>16</v>
      </c>
      <c r="D24" s="30">
        <v>1.3288043478260869</v>
      </c>
      <c r="E24" t="s">
        <v>19</v>
      </c>
      <c r="F24">
        <v>23</v>
      </c>
      <c r="G24" t="s">
        <v>29</v>
      </c>
      <c r="H24">
        <v>30.5625</v>
      </c>
      <c r="I24" t="s">
        <v>28</v>
      </c>
    </row>
    <row r="25" spans="1:9" x14ac:dyDescent="0.2">
      <c r="A25" t="s">
        <v>45</v>
      </c>
      <c r="D25" s="30">
        <v>0.35869565217391303</v>
      </c>
      <c r="E25" t="s">
        <v>19</v>
      </c>
      <c r="F25">
        <v>23</v>
      </c>
      <c r="G25" t="s">
        <v>29</v>
      </c>
      <c r="H25">
        <v>8.25</v>
      </c>
      <c r="I25" t="s">
        <v>28</v>
      </c>
    </row>
    <row r="26" spans="1:9" x14ac:dyDescent="0.2">
      <c r="A26" t="s">
        <v>17</v>
      </c>
      <c r="D26" s="30">
        <v>8.1521739130434785</v>
      </c>
      <c r="E26" t="s">
        <v>19</v>
      </c>
      <c r="F26">
        <v>23</v>
      </c>
      <c r="G26" t="s">
        <v>29</v>
      </c>
      <c r="H26">
        <v>187.5</v>
      </c>
      <c r="I26" t="s">
        <v>28</v>
      </c>
    </row>
    <row r="27" spans="1:9" x14ac:dyDescent="0.2">
      <c r="A27" t="s">
        <v>18</v>
      </c>
      <c r="D27" s="30">
        <v>10.416666666666666</v>
      </c>
      <c r="E27" t="s">
        <v>19</v>
      </c>
      <c r="F27">
        <v>12</v>
      </c>
      <c r="G27" t="s">
        <v>82</v>
      </c>
      <c r="H27">
        <v>125</v>
      </c>
      <c r="I27" t="s">
        <v>7</v>
      </c>
    </row>
    <row r="28" spans="1:9" x14ac:dyDescent="0.2">
      <c r="A28" t="s">
        <v>220</v>
      </c>
      <c r="D28" s="30">
        <v>0.97422062350119909</v>
      </c>
      <c r="E28" t="s">
        <v>19</v>
      </c>
      <c r="F28">
        <v>4000</v>
      </c>
      <c r="G28" t="s">
        <v>221</v>
      </c>
      <c r="H28">
        <v>3896.8824940047962</v>
      </c>
      <c r="I28" t="s">
        <v>225</v>
      </c>
    </row>
    <row r="29" spans="1:9" x14ac:dyDescent="0.2">
      <c r="D29" s="12">
        <v>21.230561203211344</v>
      </c>
      <c r="E29" t="s">
        <v>19</v>
      </c>
    </row>
    <row r="30" spans="1:9" x14ac:dyDescent="0.2">
      <c r="D30" s="33">
        <v>127.38336721926807</v>
      </c>
      <c r="E30" t="s">
        <v>239</v>
      </c>
    </row>
    <row r="32" spans="1:9" x14ac:dyDescent="0.2">
      <c r="A32" t="s">
        <v>91</v>
      </c>
      <c r="D32" s="12">
        <v>531.52173913043475</v>
      </c>
      <c r="E32" t="s">
        <v>95</v>
      </c>
      <c r="F32">
        <v>23</v>
      </c>
      <c r="G32" t="s">
        <v>29</v>
      </c>
      <c r="H32">
        <v>12225</v>
      </c>
      <c r="I32" t="s">
        <v>55</v>
      </c>
    </row>
    <row r="33" spans="1:10" x14ac:dyDescent="0.2">
      <c r="A33" t="s">
        <v>92</v>
      </c>
      <c r="D33" s="12">
        <v>143.47826086956522</v>
      </c>
      <c r="E33" t="s">
        <v>95</v>
      </c>
      <c r="F33">
        <v>23</v>
      </c>
      <c r="G33" t="s">
        <v>29</v>
      </c>
      <c r="H33">
        <v>3300</v>
      </c>
      <c r="I33" t="s">
        <v>55</v>
      </c>
    </row>
    <row r="34" spans="1:10" x14ac:dyDescent="0.2">
      <c r="A34" t="s">
        <v>93</v>
      </c>
      <c r="D34" s="12">
        <v>3260.8695652173915</v>
      </c>
      <c r="E34" t="s">
        <v>95</v>
      </c>
      <c r="F34">
        <v>23</v>
      </c>
      <c r="G34" t="s">
        <v>29</v>
      </c>
      <c r="H34">
        <v>75000</v>
      </c>
      <c r="I34" t="s">
        <v>55</v>
      </c>
    </row>
    <row r="35" spans="1:10" x14ac:dyDescent="0.2">
      <c r="A35" t="s">
        <v>94</v>
      </c>
      <c r="D35" s="12">
        <v>4166.666666666667</v>
      </c>
      <c r="E35" t="s">
        <v>95</v>
      </c>
      <c r="F35">
        <v>12</v>
      </c>
      <c r="G35" t="s">
        <v>82</v>
      </c>
      <c r="H35">
        <v>50000</v>
      </c>
      <c r="I35" t="s">
        <v>55</v>
      </c>
    </row>
    <row r="36" spans="1:10" x14ac:dyDescent="0.2">
      <c r="A36" t="s">
        <v>222</v>
      </c>
      <c r="D36" s="54">
        <v>389.68824940047961</v>
      </c>
      <c r="E36" s="55" t="s">
        <v>95</v>
      </c>
      <c r="F36">
        <v>4000</v>
      </c>
      <c r="G36" t="s">
        <v>221</v>
      </c>
      <c r="H36">
        <v>1558752.9976019184</v>
      </c>
      <c r="I36" t="s">
        <v>226</v>
      </c>
    </row>
    <row r="37" spans="1:10" x14ac:dyDescent="0.2">
      <c r="D37" s="12">
        <v>8492.2244812845383</v>
      </c>
      <c r="E37" t="s">
        <v>95</v>
      </c>
    </row>
    <row r="39" spans="1:10" x14ac:dyDescent="0.2">
      <c r="A39" t="s">
        <v>12</v>
      </c>
      <c r="D39" s="1">
        <v>0.15405125183098814</v>
      </c>
      <c r="E39" t="s">
        <v>112</v>
      </c>
      <c r="F39" s="30">
        <v>1349.488966039456</v>
      </c>
      <c r="G39" t="s">
        <v>83</v>
      </c>
      <c r="I39" s="30">
        <v>61.620500732395257</v>
      </c>
      <c r="J39" t="s">
        <v>84</v>
      </c>
    </row>
    <row r="40" spans="1:10" x14ac:dyDescent="0.2">
      <c r="A40" t="s">
        <v>13</v>
      </c>
      <c r="D40" s="1">
        <v>4.1584386997321955E-2</v>
      </c>
      <c r="E40" t="s">
        <v>112</v>
      </c>
      <c r="F40" s="30">
        <v>364.27923009654035</v>
      </c>
      <c r="G40" t="s">
        <v>83</v>
      </c>
      <c r="I40" s="30">
        <v>16.633754798928781</v>
      </c>
      <c r="J40" t="s">
        <v>84</v>
      </c>
    </row>
    <row r="41" spans="1:10" x14ac:dyDescent="0.2">
      <c r="A41" t="s">
        <v>14</v>
      </c>
      <c r="D41" s="1">
        <v>1.7099142012370454</v>
      </c>
      <c r="E41" t="s">
        <v>112</v>
      </c>
      <c r="F41" s="30">
        <v>14978.848402836518</v>
      </c>
      <c r="G41" t="s">
        <v>83</v>
      </c>
      <c r="I41" s="30">
        <v>683.96568049481823</v>
      </c>
      <c r="J41" t="s">
        <v>84</v>
      </c>
    </row>
    <row r="42" spans="1:10" x14ac:dyDescent="0.2">
      <c r="A42" t="s">
        <v>15</v>
      </c>
      <c r="D42" s="1">
        <v>1.2076274001747538</v>
      </c>
      <c r="E42" t="s">
        <v>112</v>
      </c>
      <c r="F42" s="30">
        <v>10578.816025530843</v>
      </c>
      <c r="G42" t="s">
        <v>83</v>
      </c>
      <c r="I42" s="30">
        <v>483.05096006990152</v>
      </c>
      <c r="J42" t="s">
        <v>84</v>
      </c>
    </row>
    <row r="43" spans="1:10" x14ac:dyDescent="0.2">
      <c r="A43" s="55" t="s">
        <v>219</v>
      </c>
      <c r="B43" s="55"/>
      <c r="C43" s="55"/>
      <c r="D43" s="89">
        <v>0.11294356980051655</v>
      </c>
      <c r="E43" s="55" t="s">
        <v>112</v>
      </c>
      <c r="F43" s="90">
        <v>989.385671452525</v>
      </c>
      <c r="G43" s="55" t="s">
        <v>83</v>
      </c>
      <c r="H43" s="55"/>
      <c r="I43" s="30">
        <v>45.177427920206611</v>
      </c>
      <c r="J43" t="s">
        <v>84</v>
      </c>
    </row>
    <row r="44" spans="1:10" x14ac:dyDescent="0.2">
      <c r="D44" s="1">
        <v>3.2261208100406256</v>
      </c>
      <c r="E44" t="s">
        <v>112</v>
      </c>
      <c r="F44" s="30">
        <v>28260.818295955884</v>
      </c>
      <c r="I44" s="30">
        <v>1290.4483240162504</v>
      </c>
    </row>
    <row r="46" spans="1:10" x14ac:dyDescent="0.2">
      <c r="A46" t="s">
        <v>20</v>
      </c>
      <c r="D46">
        <v>26.5</v>
      </c>
      <c r="E46" t="s">
        <v>137</v>
      </c>
      <c r="G46">
        <v>15</v>
      </c>
      <c r="H46" t="s">
        <v>218</v>
      </c>
    </row>
    <row r="47" spans="1:10" x14ac:dyDescent="0.2">
      <c r="A47" t="s">
        <v>21</v>
      </c>
      <c r="D47">
        <v>26.5</v>
      </c>
      <c r="E47" t="s">
        <v>137</v>
      </c>
      <c r="G47">
        <v>15</v>
      </c>
      <c r="H47" t="s">
        <v>218</v>
      </c>
    </row>
    <row r="48" spans="1:10" x14ac:dyDescent="0.2">
      <c r="A48" t="s">
        <v>22</v>
      </c>
      <c r="D48">
        <v>26.5</v>
      </c>
      <c r="E48" t="s">
        <v>137</v>
      </c>
      <c r="G48">
        <v>15</v>
      </c>
      <c r="H48" t="s">
        <v>218</v>
      </c>
    </row>
    <row r="49" spans="1:11" x14ac:dyDescent="0.2">
      <c r="A49" t="s">
        <v>23</v>
      </c>
      <c r="D49">
        <v>25</v>
      </c>
      <c r="E49" t="s">
        <v>137</v>
      </c>
    </row>
    <row r="50" spans="1:11" x14ac:dyDescent="0.2">
      <c r="A50" t="s">
        <v>227</v>
      </c>
      <c r="D50">
        <v>23.34</v>
      </c>
      <c r="E50" t="s">
        <v>137</v>
      </c>
      <c r="G50">
        <v>15</v>
      </c>
      <c r="H50" t="s">
        <v>218</v>
      </c>
    </row>
    <row r="52" spans="1:11" x14ac:dyDescent="0.2">
      <c r="D52" s="154" t="s">
        <v>240</v>
      </c>
      <c r="E52" s="154"/>
      <c r="F52" s="154"/>
      <c r="G52" s="154"/>
      <c r="H52" s="154" t="s">
        <v>241</v>
      </c>
      <c r="I52" s="154"/>
      <c r="J52" s="154"/>
      <c r="K52" s="154"/>
    </row>
    <row r="53" spans="1:11" x14ac:dyDescent="0.2">
      <c r="D53" s="139" t="s">
        <v>50</v>
      </c>
      <c r="E53" s="139"/>
      <c r="F53" s="139"/>
      <c r="G53" s="139"/>
      <c r="H53" s="139" t="s">
        <v>50</v>
      </c>
      <c r="I53" s="139"/>
      <c r="J53" s="139"/>
      <c r="K53" s="139"/>
    </row>
    <row r="54" spans="1:11" x14ac:dyDescent="0.2">
      <c r="A54" s="100" t="s">
        <v>24</v>
      </c>
      <c r="B54" s="100"/>
      <c r="C54" s="100"/>
      <c r="D54" s="131">
        <v>1.0593985748791612</v>
      </c>
      <c r="E54" s="100" t="s">
        <v>11</v>
      </c>
      <c r="F54" s="131">
        <v>4.6401657579707258</v>
      </c>
      <c r="G54" s="100" t="s">
        <v>55</v>
      </c>
      <c r="H54" s="131">
        <v>5.296992874395811E-2</v>
      </c>
      <c r="I54" s="131" t="s">
        <v>11</v>
      </c>
      <c r="J54" s="135">
        <v>8.5622624545028184E-3</v>
      </c>
      <c r="K54" s="131" t="s">
        <v>55</v>
      </c>
    </row>
    <row r="55" spans="1:11" x14ac:dyDescent="0.2">
      <c r="A55" s="100" t="s">
        <v>25</v>
      </c>
      <c r="B55" s="100"/>
      <c r="C55" s="100"/>
      <c r="D55" s="131">
        <v>0.28597262143977364</v>
      </c>
      <c r="E55" s="100" t="s">
        <v>11</v>
      </c>
      <c r="F55" s="131">
        <v>1.2525600819062086</v>
      </c>
      <c r="G55" s="100" t="s">
        <v>55</v>
      </c>
      <c r="H55" s="131">
        <v>1.4298631071988695E-2</v>
      </c>
      <c r="I55" s="131" t="s">
        <v>11</v>
      </c>
      <c r="J55" s="135">
        <v>2.3112855705406379E-3</v>
      </c>
      <c r="K55" s="131" t="s">
        <v>55</v>
      </c>
    </row>
    <row r="56" spans="1:11" x14ac:dyDescent="0.2">
      <c r="A56" s="100" t="s">
        <v>26</v>
      </c>
      <c r="B56" s="100"/>
      <c r="C56" s="100"/>
      <c r="D56" s="131">
        <v>11.758948054142182</v>
      </c>
      <c r="E56" s="100" t="s">
        <v>11</v>
      </c>
      <c r="F56" s="131">
        <v>51.504192477142759</v>
      </c>
      <c r="G56" s="100" t="s">
        <v>55</v>
      </c>
      <c r="H56" s="131">
        <v>0.58794740270710966</v>
      </c>
      <c r="I56" s="131" t="s">
        <v>11</v>
      </c>
      <c r="J56" s="131">
        <v>9.503807331429992E-2</v>
      </c>
      <c r="K56" s="131" t="s">
        <v>55</v>
      </c>
    </row>
    <row r="57" spans="1:11" x14ac:dyDescent="0.2">
      <c r="A57" s="100" t="s">
        <v>27</v>
      </c>
      <c r="B57" s="100"/>
      <c r="C57" s="100"/>
      <c r="D57" s="131">
        <v>8.0898314174379493</v>
      </c>
      <c r="E57" s="100" t="s">
        <v>11</v>
      </c>
      <c r="F57" s="131">
        <v>35.433461608378217</v>
      </c>
      <c r="G57" s="100" t="s">
        <v>55</v>
      </c>
      <c r="H57" s="131">
        <v>0.4044915708718978</v>
      </c>
      <c r="I57" s="131" t="s">
        <v>11</v>
      </c>
      <c r="J57" s="131">
        <v>6.5383568990251981E-2</v>
      </c>
      <c r="K57" s="131" t="s">
        <v>55</v>
      </c>
    </row>
    <row r="58" spans="1:11" x14ac:dyDescent="0.2">
      <c r="A58" s="55" t="s">
        <v>228</v>
      </c>
      <c r="B58" s="55"/>
      <c r="C58" s="55"/>
      <c r="D58" s="132">
        <v>0.73356804194853709</v>
      </c>
      <c r="E58" s="55" t="s">
        <v>11</v>
      </c>
      <c r="F58" s="132">
        <v>3.2130280237345925</v>
      </c>
      <c r="G58" s="55" t="s">
        <v>55</v>
      </c>
      <c r="H58" s="132">
        <v>3.6678402097426885E-2</v>
      </c>
      <c r="I58" s="132" t="s">
        <v>11</v>
      </c>
      <c r="J58" s="134">
        <v>5.9288375993100991E-3</v>
      </c>
      <c r="K58" s="132" t="s">
        <v>55</v>
      </c>
    </row>
    <row r="59" spans="1:11" x14ac:dyDescent="0.2">
      <c r="A59" s="151" t="s">
        <v>58</v>
      </c>
      <c r="B59" s="151"/>
      <c r="C59" s="151"/>
      <c r="D59" s="133">
        <v>21.927718709847603</v>
      </c>
      <c r="E59" s="8" t="s">
        <v>11</v>
      </c>
      <c r="F59" s="133">
        <v>96.043407949132515</v>
      </c>
      <c r="G59" s="8" t="s">
        <v>55</v>
      </c>
      <c r="H59" s="133">
        <v>1.0963859354923813</v>
      </c>
      <c r="I59" s="133" t="s">
        <v>11</v>
      </c>
      <c r="J59" s="133">
        <v>0.17722402792890543</v>
      </c>
      <c r="K59" s="133" t="s">
        <v>55</v>
      </c>
    </row>
    <row r="60" spans="1:11" x14ac:dyDescent="0.2">
      <c r="D60" s="139" t="s">
        <v>73</v>
      </c>
      <c r="E60" s="139"/>
      <c r="F60" s="139"/>
      <c r="G60" s="139"/>
      <c r="H60" s="153" t="s">
        <v>73</v>
      </c>
      <c r="I60" s="153"/>
      <c r="J60" s="153"/>
      <c r="K60" s="153"/>
    </row>
    <row r="61" spans="1:11" x14ac:dyDescent="0.2">
      <c r="A61" t="s">
        <v>24</v>
      </c>
      <c r="D61" s="22">
        <v>0.27000173921406706</v>
      </c>
      <c r="E61" t="s">
        <v>11</v>
      </c>
      <c r="F61" s="22">
        <v>1.1826076177576137</v>
      </c>
      <c r="G61" t="s">
        <v>55</v>
      </c>
      <c r="H61" s="22">
        <v>1.3500086960703366E-2</v>
      </c>
      <c r="I61" s="22" t="s">
        <v>11</v>
      </c>
      <c r="J61" s="58">
        <v>2.1822058374835578E-3</v>
      </c>
      <c r="K61" s="22" t="s">
        <v>55</v>
      </c>
    </row>
    <row r="62" spans="1:11" x14ac:dyDescent="0.2">
      <c r="A62" t="s">
        <v>25</v>
      </c>
      <c r="D62" s="22">
        <v>7.2883905063919951E-2</v>
      </c>
      <c r="E62" t="s">
        <v>11</v>
      </c>
      <c r="F62" s="22">
        <v>0.31923150417996937</v>
      </c>
      <c r="G62" t="s">
        <v>55</v>
      </c>
      <c r="H62" s="58">
        <v>3.6441952531960009E-3</v>
      </c>
      <c r="I62" s="22" t="s">
        <v>11</v>
      </c>
      <c r="J62" s="58">
        <v>5.890616984618193E-4</v>
      </c>
      <c r="K62" s="22" t="s">
        <v>55</v>
      </c>
    </row>
    <row r="63" spans="1:11" x14ac:dyDescent="0.2">
      <c r="A63" t="s">
        <v>26</v>
      </c>
      <c r="D63" s="22">
        <v>2.9969234443310473</v>
      </c>
      <c r="E63" t="s">
        <v>11</v>
      </c>
      <c r="F63" s="22">
        <v>13.126524686169986</v>
      </c>
      <c r="G63" t="s">
        <v>55</v>
      </c>
      <c r="H63" s="22">
        <v>0.1498461722165525</v>
      </c>
      <c r="I63" s="22" t="s">
        <v>11</v>
      </c>
      <c r="J63" s="22">
        <v>2.4221710029524928E-2</v>
      </c>
      <c r="K63" s="22" t="s">
        <v>55</v>
      </c>
    </row>
    <row r="64" spans="1:11" x14ac:dyDescent="0.2">
      <c r="A64" t="s">
        <v>27</v>
      </c>
      <c r="D64" s="22">
        <v>2.0618005389576752</v>
      </c>
      <c r="E64" t="s">
        <v>11</v>
      </c>
      <c r="F64" s="22">
        <v>9.0306863606346184</v>
      </c>
      <c r="G64" t="s">
        <v>55</v>
      </c>
      <c r="H64" s="22">
        <v>0.10309002694788386</v>
      </c>
      <c r="I64" s="22" t="s">
        <v>11</v>
      </c>
      <c r="J64" s="22">
        <v>1.6663867369657939E-2</v>
      </c>
      <c r="K64" s="22" t="s">
        <v>55</v>
      </c>
    </row>
    <row r="65" spans="1:11" x14ac:dyDescent="0.2">
      <c r="A65" s="55" t="s">
        <v>228</v>
      </c>
      <c r="B65" s="55"/>
      <c r="C65" s="55"/>
      <c r="D65" s="132">
        <v>0.18695951821584683</v>
      </c>
      <c r="E65" s="55" t="s">
        <v>11</v>
      </c>
      <c r="F65" s="132">
        <v>0.81888268978540912</v>
      </c>
      <c r="G65" s="55" t="s">
        <v>55</v>
      </c>
      <c r="H65" s="134">
        <v>9.3479759107923492E-3</v>
      </c>
      <c r="I65" s="132" t="s">
        <v>11</v>
      </c>
      <c r="J65" s="134">
        <v>1.5110426814705438E-3</v>
      </c>
      <c r="K65" s="132" t="s">
        <v>55</v>
      </c>
    </row>
    <row r="66" spans="1:11" x14ac:dyDescent="0.2">
      <c r="A66" s="151" t="s">
        <v>58</v>
      </c>
      <c r="B66" s="151"/>
      <c r="C66" s="151"/>
      <c r="D66" s="133">
        <v>5.5885691457825564</v>
      </c>
      <c r="E66" s="8" t="s">
        <v>11</v>
      </c>
      <c r="F66" s="133">
        <v>24.477932858527595</v>
      </c>
      <c r="G66" s="8" t="s">
        <v>55</v>
      </c>
      <c r="H66" s="133">
        <v>0.27942845728912807</v>
      </c>
      <c r="I66" s="133" t="s">
        <v>11</v>
      </c>
      <c r="J66" s="133">
        <v>4.5167887616598783E-2</v>
      </c>
      <c r="K66" s="133" t="s">
        <v>55</v>
      </c>
    </row>
    <row r="67" spans="1:11" x14ac:dyDescent="0.2">
      <c r="D67" s="139" t="s">
        <v>78</v>
      </c>
      <c r="E67" s="139"/>
      <c r="F67" s="139"/>
      <c r="G67" s="139"/>
      <c r="H67" s="153" t="s">
        <v>78</v>
      </c>
      <c r="I67" s="153"/>
      <c r="J67" s="153"/>
      <c r="K67" s="153"/>
    </row>
    <row r="68" spans="1:11" x14ac:dyDescent="0.2">
      <c r="A68" t="s">
        <v>24</v>
      </c>
      <c r="D68" s="22">
        <v>2.7000173921406707E-2</v>
      </c>
      <c r="E68" t="s">
        <v>11</v>
      </c>
      <c r="F68" s="22">
        <v>0.11826076177576138</v>
      </c>
      <c r="G68" t="s">
        <v>55</v>
      </c>
      <c r="H68" s="58">
        <v>1.3500086960703366E-3</v>
      </c>
      <c r="I68" s="22" t="s">
        <v>11</v>
      </c>
      <c r="J68" s="1">
        <v>2.1822058374835576E-4</v>
      </c>
      <c r="K68" s="22" t="s">
        <v>55</v>
      </c>
    </row>
    <row r="69" spans="1:11" x14ac:dyDescent="0.2">
      <c r="A69" t="s">
        <v>25</v>
      </c>
      <c r="D69" s="22">
        <v>7.2883905063919948E-3</v>
      </c>
      <c r="E69" t="s">
        <v>11</v>
      </c>
      <c r="F69" s="22">
        <v>3.1923150417996933E-2</v>
      </c>
      <c r="G69" t="s">
        <v>55</v>
      </c>
      <c r="H69" s="1">
        <v>3.6441952531960004E-4</v>
      </c>
      <c r="I69" s="22" t="s">
        <v>11</v>
      </c>
      <c r="J69" s="20">
        <v>5.8906169846181927E-5</v>
      </c>
      <c r="K69" s="22" t="s">
        <v>55</v>
      </c>
    </row>
    <row r="70" spans="1:11" x14ac:dyDescent="0.2">
      <c r="A70" t="s">
        <v>26</v>
      </c>
      <c r="D70" s="22">
        <v>0.29969234443310472</v>
      </c>
      <c r="E70" t="s">
        <v>11</v>
      </c>
      <c r="F70" s="22">
        <v>1.3126524686169987</v>
      </c>
      <c r="G70" t="s">
        <v>55</v>
      </c>
      <c r="H70" s="22">
        <v>1.4984617221655248E-2</v>
      </c>
      <c r="I70" s="22" t="s">
        <v>11</v>
      </c>
      <c r="J70" s="58">
        <v>2.4221710029524927E-3</v>
      </c>
      <c r="K70" s="22" t="s">
        <v>55</v>
      </c>
    </row>
    <row r="71" spans="1:11" x14ac:dyDescent="0.2">
      <c r="A71" t="s">
        <v>27</v>
      </c>
      <c r="D71" s="22">
        <v>0.20618005389576752</v>
      </c>
      <c r="E71" t="s">
        <v>11</v>
      </c>
      <c r="F71" s="22">
        <v>0.90306863606346177</v>
      </c>
      <c r="G71" t="s">
        <v>55</v>
      </c>
      <c r="H71" s="22">
        <v>1.0309002694788384E-2</v>
      </c>
      <c r="I71" s="22" t="s">
        <v>11</v>
      </c>
      <c r="J71" s="58">
        <v>1.6663867369657937E-3</v>
      </c>
      <c r="K71" s="22" t="s">
        <v>55</v>
      </c>
    </row>
    <row r="72" spans="1:11" x14ac:dyDescent="0.2">
      <c r="A72" t="s">
        <v>228</v>
      </c>
      <c r="B72" s="55"/>
      <c r="C72" s="55"/>
      <c r="D72" s="132">
        <v>1.8695951821584681E-2</v>
      </c>
      <c r="E72" s="55" t="s">
        <v>11</v>
      </c>
      <c r="F72" s="132">
        <v>8.1888268978540901E-2</v>
      </c>
      <c r="G72" s="55" t="s">
        <v>55</v>
      </c>
      <c r="H72" s="89">
        <v>9.3479759107923483E-4</v>
      </c>
      <c r="I72" s="132" t="s">
        <v>11</v>
      </c>
      <c r="J72" s="89">
        <v>1.5110426814705439E-4</v>
      </c>
      <c r="K72" s="132" t="s">
        <v>55</v>
      </c>
    </row>
    <row r="73" spans="1:11" x14ac:dyDescent="0.2">
      <c r="A73" s="151" t="s">
        <v>58</v>
      </c>
      <c r="B73" s="151"/>
      <c r="C73" s="151"/>
      <c r="D73" s="133">
        <v>0.55885691457825559</v>
      </c>
      <c r="E73" s="8" t="s">
        <v>11</v>
      </c>
      <c r="F73" s="133">
        <v>2.4477932858527596</v>
      </c>
      <c r="G73" s="8" t="s">
        <v>55</v>
      </c>
      <c r="H73" s="133">
        <v>2.7942845728912806E-2</v>
      </c>
      <c r="I73" s="133" t="s">
        <v>11</v>
      </c>
      <c r="J73" s="136">
        <v>4.5167887616598783E-3</v>
      </c>
      <c r="K73" s="133" t="s">
        <v>55</v>
      </c>
    </row>
  </sheetData>
  <mergeCells count="14">
    <mergeCell ref="A73:C73"/>
    <mergeCell ref="A1:I1"/>
    <mergeCell ref="A3:C3"/>
    <mergeCell ref="E3:H3"/>
    <mergeCell ref="D60:G60"/>
    <mergeCell ref="D67:G67"/>
    <mergeCell ref="H60:K60"/>
    <mergeCell ref="H67:K67"/>
    <mergeCell ref="D52:G52"/>
    <mergeCell ref="H52:K52"/>
    <mergeCell ref="D53:G53"/>
    <mergeCell ref="H53:K53"/>
    <mergeCell ref="A59:C59"/>
    <mergeCell ref="A66:C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Material Handling</vt:lpstr>
      <vt:lpstr>Heater</vt:lpstr>
      <vt:lpstr>Total</vt:lpstr>
      <vt:lpstr>Hours</vt:lpstr>
      <vt:lpstr>Road Length</vt:lpstr>
      <vt:lpstr>Sheet1</vt:lpstr>
      <vt:lpstr>Sheet2</vt:lpstr>
      <vt:lpstr>agg</vt:lpstr>
      <vt:lpstr>cuydday</vt:lpstr>
      <vt:lpstr>cuydhr</vt:lpstr>
      <vt:lpstr>cuydyr</vt:lpstr>
      <vt:lpstr>Heater!Print_Area</vt:lpstr>
      <vt:lpstr>'Material Handling'!Print_Area</vt:lpstr>
      <vt:lpstr>Total!Print_Area</vt:lpstr>
      <vt:lpstr>sand</vt:lpstr>
      <vt:lpstr>unhrsyr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Wade</dc:creator>
  <cp:lastModifiedBy>Paul Wade</cp:lastModifiedBy>
  <cp:lastPrinted>2022-09-28T17:01:58Z</cp:lastPrinted>
  <dcterms:created xsi:type="dcterms:W3CDTF">2003-11-03T18:02:33Z</dcterms:created>
  <dcterms:modified xsi:type="dcterms:W3CDTF">2022-09-29T23:28:29Z</dcterms:modified>
</cp:coreProperties>
</file>