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3"/>
  <workbookPr codeName="ThisWorkbook" defaultThemeVersion="124226"/>
  <mc:AlternateContent xmlns:mc="http://schemas.openxmlformats.org/markup-compatibility/2006">
    <mc:Choice Requires="x15">
      <x15ac:absPath xmlns:x15ac="http://schemas.microsoft.com/office/spreadsheetml/2010/11/ac" url="/Users/amigosbravos/Desktop/Amigos Bravos Documents_Shannon/SR-Grants and Projects/Rio Fernando Watershed/FINAL Appendices 2019 WBP/"/>
    </mc:Choice>
  </mc:AlternateContent>
  <xr:revisionPtr revIDLastSave="0" documentId="13_ncr:1_{AF21B2C7-1AF1-084D-988B-A2E8D38F52F8}" xr6:coauthVersionLast="45" xr6:coauthVersionMax="45" xr10:uidLastSave="{00000000-0000-0000-0000-000000000000}"/>
  <bookViews>
    <workbookView xWindow="0" yWindow="460" windowWidth="27780" windowHeight="16620" activeTab="4" xr2:uid="{00000000-000D-0000-FFFF-FFFF00000000}"/>
  </bookViews>
  <sheets>
    <sheet name="Input - Animals" sheetId="1" r:id="rId1"/>
    <sheet name="Input-Landuse" sheetId="2" r:id="rId2"/>
    <sheet name="Input- Human Use" sheetId="3" r:id="rId3"/>
    <sheet name="Results - Report Summary" sheetId="4" r:id="rId4"/>
    <sheet name="Results-ReportAppendix1" sheetId="5" r:id="rId5"/>
  </sheet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63" i="5" l="1"/>
  <c r="F59" i="5"/>
  <c r="F60" i="5"/>
  <c r="G61" i="5"/>
  <c r="F61" i="5"/>
  <c r="G62" i="5"/>
  <c r="F62" i="5"/>
  <c r="F63" i="5"/>
  <c r="G63" i="5"/>
  <c r="B63" i="5"/>
  <c r="E62" i="5"/>
  <c r="B62" i="5"/>
  <c r="E61" i="5"/>
  <c r="B61" i="5"/>
  <c r="G60" i="5"/>
  <c r="E60" i="5"/>
  <c r="B60" i="5"/>
  <c r="G59" i="5"/>
  <c r="E59" i="5"/>
  <c r="B59" i="5"/>
  <c r="D56" i="5"/>
  <c r="B57" i="5"/>
  <c r="F56" i="5"/>
  <c r="G56" i="5"/>
  <c r="B56" i="5"/>
  <c r="E55" i="5"/>
  <c r="B55" i="5"/>
  <c r="E54" i="5"/>
  <c r="B54" i="5"/>
  <c r="E53" i="5"/>
  <c r="B53" i="5"/>
  <c r="E52" i="5"/>
  <c r="B52" i="5"/>
  <c r="E51" i="5"/>
  <c r="B51" i="5"/>
  <c r="E50" i="5"/>
  <c r="D44" i="5"/>
  <c r="F40" i="5"/>
  <c r="F41" i="5"/>
  <c r="G42" i="5"/>
  <c r="F42" i="5"/>
  <c r="G43" i="5"/>
  <c r="F43" i="5"/>
  <c r="F44" i="5"/>
  <c r="G44" i="5"/>
  <c r="B44" i="5"/>
  <c r="E43" i="5"/>
  <c r="B43" i="5"/>
  <c r="E42" i="5"/>
  <c r="B42" i="5"/>
  <c r="G41" i="5"/>
  <c r="E41" i="5"/>
  <c r="B41" i="5"/>
  <c r="G40" i="5"/>
  <c r="E40" i="5"/>
  <c r="B40" i="5"/>
  <c r="F37" i="5"/>
  <c r="D37" i="5"/>
  <c r="G37" i="5"/>
  <c r="B37" i="5"/>
  <c r="E36" i="5"/>
  <c r="B36" i="5"/>
  <c r="E35" i="5"/>
  <c r="B35" i="5"/>
  <c r="E34" i="5"/>
  <c r="B34" i="5"/>
  <c r="E33" i="5"/>
  <c r="B33" i="5"/>
  <c r="E32" i="5"/>
  <c r="B32" i="5"/>
  <c r="E31" i="5"/>
  <c r="B31" i="5"/>
  <c r="D25" i="5"/>
  <c r="G21" i="5"/>
  <c r="F21" i="5"/>
  <c r="F22" i="5"/>
  <c r="G23" i="5"/>
  <c r="F23" i="5"/>
  <c r="G24" i="5"/>
  <c r="F24" i="5"/>
  <c r="F25" i="5"/>
  <c r="G25" i="5"/>
  <c r="B25" i="5"/>
  <c r="E24" i="5"/>
  <c r="B24" i="5"/>
  <c r="E23" i="5"/>
  <c r="B23" i="5"/>
  <c r="G22" i="5"/>
  <c r="E22" i="5"/>
  <c r="B22" i="5"/>
  <c r="E21" i="5"/>
  <c r="B21" i="5"/>
  <c r="F18" i="5"/>
  <c r="D18" i="5"/>
  <c r="G18" i="5"/>
  <c r="B18" i="5"/>
  <c r="E17" i="5"/>
  <c r="B17" i="5"/>
  <c r="E16" i="5"/>
  <c r="B16" i="5"/>
  <c r="E15" i="5"/>
  <c r="B15" i="5"/>
  <c r="E14" i="5"/>
  <c r="B14" i="5"/>
  <c r="E13" i="5"/>
  <c r="B13" i="5"/>
  <c r="E12" i="5"/>
  <c r="B12" i="5"/>
  <c r="G45" i="4"/>
  <c r="I45" i="4"/>
  <c r="G46" i="4"/>
  <c r="I46" i="4"/>
  <c r="G47" i="4"/>
  <c r="I47" i="4"/>
  <c r="G48" i="4"/>
  <c r="I48" i="4"/>
  <c r="I49" i="4"/>
  <c r="G49" i="4"/>
  <c r="H48" i="4"/>
  <c r="H47" i="4"/>
  <c r="H46" i="4"/>
  <c r="H45" i="4"/>
  <c r="D42" i="4"/>
  <c r="D41" i="4"/>
  <c r="D40" i="4"/>
  <c r="D39" i="4"/>
  <c r="G24" i="4"/>
  <c r="G25" i="4"/>
  <c r="G26" i="4"/>
  <c r="G27" i="4"/>
  <c r="G28" i="4"/>
  <c r="G29" i="4"/>
  <c r="G30" i="4"/>
  <c r="G31" i="4"/>
  <c r="I31" i="4"/>
  <c r="H24" i="4"/>
  <c r="H25" i="4"/>
  <c r="H26" i="4"/>
  <c r="H27" i="4"/>
  <c r="H28" i="4"/>
  <c r="H29" i="4"/>
  <c r="H30" i="4"/>
  <c r="H31" i="4"/>
  <c r="I30" i="4"/>
  <c r="I29" i="4"/>
  <c r="I28" i="4"/>
  <c r="I27" i="4"/>
  <c r="I26" i="4"/>
  <c r="I25" i="4"/>
  <c r="I24" i="4"/>
  <c r="P13" i="3"/>
  <c r="P14" i="3"/>
  <c r="P12" i="3"/>
  <c r="E14" i="1"/>
  <c r="E13" i="1"/>
  <c r="I8" i="2"/>
  <c r="R5" i="2"/>
  <c r="R3" i="2"/>
  <c r="J10" i="2"/>
  <c r="I12" i="2"/>
  <c r="D40" i="1"/>
  <c r="D41" i="1"/>
  <c r="D39" i="1"/>
  <c r="I39" i="1"/>
  <c r="I38" i="1"/>
  <c r="I37" i="1"/>
  <c r="N12" i="2"/>
  <c r="G3" i="2"/>
  <c r="N11" i="2"/>
  <c r="R4" i="2"/>
  <c r="F15" i="1"/>
  <c r="F14" i="1"/>
  <c r="F13" i="1"/>
  <c r="L14" i="1"/>
  <c r="L13" i="1"/>
  <c r="L15" i="1"/>
  <c r="K15" i="1"/>
  <c r="K14" i="1"/>
  <c r="K13" i="1"/>
  <c r="I15" i="1"/>
  <c r="I14" i="1"/>
  <c r="I13" i="1"/>
  <c r="H15" i="1"/>
  <c r="H14" i="1"/>
  <c r="H13" i="1"/>
  <c r="G15" i="1"/>
  <c r="G13" i="1"/>
  <c r="G14" i="1"/>
  <c r="F12" i="2"/>
  <c r="F10" i="2"/>
  <c r="D12" i="2"/>
  <c r="D11" i="2"/>
  <c r="D10" i="2"/>
  <c r="Q6" i="1"/>
  <c r="R6" i="1"/>
  <c r="Q7" i="1"/>
  <c r="Q5" i="1"/>
  <c r="N15" i="1"/>
  <c r="E15" i="1"/>
  <c r="N14" i="1"/>
  <c r="N13" i="1"/>
  <c r="F11" i="2"/>
  <c r="D13" i="2"/>
  <c r="G10" i="2"/>
  <c r="E11" i="2"/>
  <c r="I1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L7" authorId="0" shapeId="0" xr:uid="{7161534D-3583-6D4D-9153-FBBC4949457C}">
      <text>
        <r>
          <rPr>
            <b/>
            <sz val="10"/>
            <color rgb="FF000000"/>
            <rFont val="Tahoma"/>
            <family val="2"/>
          </rPr>
          <t>Microsoft Office User:</t>
        </r>
        <r>
          <rPr>
            <sz val="10"/>
            <color rgb="FF000000"/>
            <rFont val="Tahoma"/>
            <family val="2"/>
          </rPr>
          <t xml:space="preserve">
</t>
        </r>
        <r>
          <rPr>
            <sz val="10"/>
            <color rgb="FF000000"/>
            <rFont val="Tahoma"/>
            <family val="2"/>
          </rPr>
          <t>7.836 was the calculation based on acres--too low. Visual count is 30.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Rebecca Zeckoski</author>
    <author>rzeckoski</author>
  </authors>
  <commentList>
    <comment ref="C2" authorId="0" shapeId="0" xr:uid="{00000000-0006-0000-0100-000001000000}">
      <text>
        <r>
          <rPr>
            <sz val="9"/>
            <color rgb="FF000000"/>
            <rFont val="Tahoma"/>
            <family val="2"/>
          </rPr>
          <t>Residential 1, 2, and 3 land uses can be broken down according to user preference.  The BSLC makes no assumptions on this area.</t>
        </r>
      </text>
    </comment>
    <comment ref="D2" authorId="0" shapeId="0" xr:uid="{00000000-0006-0000-0100-000002000000}">
      <text>
        <r>
          <rPr>
            <sz val="9"/>
            <color rgb="FF000000"/>
            <rFont val="Tahoma"/>
            <family val="2"/>
          </rPr>
          <t>Residential 1, 2, and 3 land uses can be broken down according to user preference.  The BSLC makes no assumptions on this area.</t>
        </r>
      </text>
    </comment>
    <comment ref="E2" authorId="0" shapeId="0" xr:uid="{00000000-0006-0000-0100-000003000000}">
      <text>
        <r>
          <rPr>
            <sz val="9"/>
            <color indexed="81"/>
            <rFont val="Tahoma"/>
            <family val="2"/>
          </rPr>
          <t>Residential 1, 2, and 3 land uses can be broken down according to user preference.  The BSLC makes no assumptions on this area.</t>
        </r>
      </text>
    </comment>
    <comment ref="I2" authorId="1" shapeId="0" xr:uid="{00000000-0006-0000-0100-000004000000}">
      <text>
        <r>
          <rPr>
            <sz val="8"/>
            <color indexed="81"/>
            <rFont val="Tahoma"/>
            <family val="2"/>
          </rPr>
          <t xml:space="preserve">Definition: fraction of total time that is spent by unconfined cows in a loafing lot
</t>
        </r>
        <r>
          <rPr>
            <b/>
            <sz val="8"/>
            <color indexed="10"/>
            <rFont val="Tahoma"/>
            <family val="2"/>
          </rPr>
          <t>Please note</t>
        </r>
        <r>
          <rPr>
            <sz val="8"/>
            <color indexed="81"/>
            <rFont val="Tahoma"/>
            <family val="2"/>
          </rPr>
          <t xml:space="preserve">: if there is no designated loafing lot area in a subwatershed, DO NOT enter values in these columns for that subwatershed. 
</t>
        </r>
        <r>
          <rPr>
            <b/>
            <sz val="8"/>
            <color indexed="81"/>
            <rFont val="Tahoma"/>
            <family val="2"/>
          </rPr>
          <t>Explanation:</t>
        </r>
        <r>
          <rPr>
            <sz val="8"/>
            <color indexed="81"/>
            <rFont val="Tahoma"/>
            <family val="2"/>
          </rPr>
          <t xml:space="preserve"> Loafing lot area is entered in the previous column; if you enter a value in these loafing lot time columns and there is no loafing lot area for the corresponding subwatershed in the previous column, it will cause cows to be lost to the ACCUM and SQOLIM table calculations.</t>
        </r>
      </text>
    </comment>
    <comment ref="K2" authorId="1" shapeId="0" xr:uid="{00000000-0006-0000-0100-000005000000}">
      <text>
        <r>
          <rPr>
            <sz val="8"/>
            <color indexed="81"/>
            <rFont val="Tahoma"/>
            <family val="2"/>
          </rPr>
          <t>=Pasture 1 acreage/ total pasture acreage</t>
        </r>
      </text>
    </comment>
    <comment ref="L2" authorId="1" shapeId="0" xr:uid="{00000000-0006-0000-0100-000006000000}">
      <text>
        <r>
          <rPr>
            <sz val="8"/>
            <color rgb="FF000000"/>
            <rFont val="Tahoma"/>
            <family val="2"/>
          </rPr>
          <t>=Pasture 2 acreage/ total pasture acreage</t>
        </r>
      </text>
    </comment>
    <comment ref="M2" authorId="1" shapeId="0" xr:uid="{00000000-0006-0000-0100-000007000000}">
      <text>
        <r>
          <rPr>
            <sz val="8"/>
            <color indexed="81"/>
            <rFont val="Tahoma"/>
            <family val="2"/>
          </rPr>
          <t>=Pasture 3 acreage/ total pasture acreage</t>
        </r>
      </text>
    </comment>
    <comment ref="N2" authorId="1" shapeId="0" xr:uid="{00000000-0006-0000-0100-000008000000}">
      <text>
        <r>
          <rPr>
            <sz val="8"/>
            <color rgb="FF000000"/>
            <rFont val="Tahoma"/>
            <family val="2"/>
          </rPr>
          <t>= Acreage of Pasture 1 with stream access/ Acreage of Pasture 1</t>
        </r>
      </text>
    </comment>
    <comment ref="O2" authorId="1" shapeId="0" xr:uid="{00000000-0006-0000-0100-000009000000}">
      <text>
        <r>
          <rPr>
            <sz val="8"/>
            <color indexed="81"/>
            <rFont val="Tahoma"/>
            <family val="2"/>
          </rPr>
          <t>=Acreage of Pasture 2 with stream access/ Acreage of Pasture 2</t>
        </r>
      </text>
    </comment>
    <comment ref="P2" authorId="1" shapeId="0" xr:uid="{00000000-0006-0000-0100-00000A000000}">
      <text>
        <r>
          <rPr>
            <sz val="8"/>
            <color indexed="81"/>
            <rFont val="Tahoma"/>
            <family val="2"/>
          </rPr>
          <t>=Acreage of Pasture 3 with stream access/ Acreage of Pasture 3</t>
        </r>
      </text>
    </comment>
    <comment ref="Q2" authorId="1" shapeId="0" xr:uid="{00000000-0006-0000-0100-00000B000000}">
      <text>
        <r>
          <rPr>
            <sz val="8"/>
            <color rgb="FF000000"/>
            <rFont val="Tahoma"/>
            <family val="2"/>
          </rPr>
          <t>Fraction of dairies that have straight pipes emptying the milk parlor</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Rebecca Zeckoski</author>
  </authors>
  <commentList>
    <comment ref="F1" authorId="0" shapeId="0" xr:uid="{00000000-0006-0000-0200-000001000000}">
      <text>
        <r>
          <rPr>
            <sz val="8"/>
            <color indexed="81"/>
            <rFont val="Tahoma"/>
            <family val="2"/>
          </rPr>
          <t>The totals from these three columns (and the three columns under straight pipes)  for one subwatershed should equal the number of unsewered houses.</t>
        </r>
      </text>
    </comment>
    <comment ref="I1" authorId="0" shapeId="0" xr:uid="{00000000-0006-0000-0200-000002000000}">
      <text>
        <r>
          <rPr>
            <sz val="8"/>
            <color indexed="81"/>
            <rFont val="Tahoma"/>
            <family val="2"/>
          </rPr>
          <t>These totals should add with the septic systems totals to give the total number of unsewered houses.  The time divisions are as described for septic systems (see the itemized comments there), only this time list the houses with straight pipes instead of the houses with septic systems.</t>
        </r>
      </text>
    </comment>
    <comment ref="F2" authorId="0" shapeId="0" xr:uid="{00000000-0006-0000-0200-000003000000}">
      <text>
        <r>
          <rPr>
            <sz val="8"/>
            <color indexed="81"/>
            <rFont val="Tahoma"/>
            <family val="2"/>
          </rPr>
          <t>These data should come from the initial survey available, most likely from USGS.  Thus the numbers in this column represent the number of septic systems installed before the first survey available.</t>
        </r>
      </text>
    </comment>
    <comment ref="G2" authorId="0" shapeId="0" xr:uid="{00000000-0006-0000-0200-000004000000}">
      <text>
        <r>
          <rPr>
            <sz val="8"/>
            <color indexed="81"/>
            <rFont val="Tahoma"/>
            <family val="2"/>
          </rPr>
          <t>These data should come from the revised survey, most likely by USGS.  These numbers should quantify the number of septic systems that have been installed between the time of the intial survey and the time of this revised survey.</t>
        </r>
      </text>
    </comment>
    <comment ref="H2" authorId="0" shapeId="0" xr:uid="{00000000-0006-0000-0200-000005000000}">
      <text>
        <r>
          <rPr>
            <sz val="8"/>
            <color indexed="81"/>
            <rFont val="Tahoma"/>
            <family val="2"/>
          </rPr>
          <t>These numbers should come from the most current data available, most likely E911 data.  They represent the number of septic systems that have been installed since the revised USGS survey.</t>
        </r>
      </text>
    </comment>
    <comment ref="J10" authorId="0" shapeId="0" xr:uid="{DF8F62B1-0E5E-7A43-8EBF-F2449ED7A282}">
      <text>
        <r>
          <rPr>
            <sz val="8"/>
            <color indexed="81"/>
            <rFont val="Tahoma"/>
            <family val="2"/>
          </rPr>
          <t>The totals from these three columns (and the three columns under straight pipes)  for one subwatershed should equal the number of unsewered houses.</t>
        </r>
      </text>
    </comment>
    <comment ref="M10" authorId="0" shapeId="0" xr:uid="{4E5A4B4E-D934-7B4C-8C7B-3FAAC735AB33}">
      <text>
        <r>
          <rPr>
            <sz val="8"/>
            <color indexed="81"/>
            <rFont val="Tahoma"/>
            <family val="2"/>
          </rPr>
          <t>These totals should add with the septic systems totals to give the total number of unsewered houses.  The time divisions are as described for septic systems (see the itemized comments there), only this time list the houses with straight pipes instead of the houses with septic systems.</t>
        </r>
      </text>
    </comment>
    <comment ref="J11" authorId="0" shapeId="0" xr:uid="{40773C73-CD6B-9B43-9675-F3AAB428757F}">
      <text>
        <r>
          <rPr>
            <sz val="8"/>
            <color indexed="81"/>
            <rFont val="Tahoma"/>
            <family val="2"/>
          </rPr>
          <t>These data should come from the initial survey available, most likely from USGS.  Thus the numbers in this column represent the number of septic systems installed before the first survey available.</t>
        </r>
      </text>
    </comment>
    <comment ref="K11" authorId="0" shapeId="0" xr:uid="{A355E98A-586B-934A-B968-BEA3735AF329}">
      <text>
        <r>
          <rPr>
            <sz val="8"/>
            <color indexed="81"/>
            <rFont val="Tahoma"/>
            <family val="2"/>
          </rPr>
          <t>These data should come from the revised survey, most likely by USGS.  These numbers should quantify the number of septic systems that have been installed between the time of the intial survey and the time of this revised survey.</t>
        </r>
      </text>
    </comment>
    <comment ref="L11" authorId="0" shapeId="0" xr:uid="{74D1FCDF-CB9B-F446-84AB-FB81BE3840AB}">
      <text>
        <r>
          <rPr>
            <sz val="8"/>
            <color indexed="81"/>
            <rFont val="Tahoma"/>
            <family val="2"/>
          </rPr>
          <t>These numbers should come from the most current data available, most likely E911 data.  They represent the number of septic systems that have been installed since the revised USGS survey.</t>
        </r>
      </text>
    </comment>
  </commentList>
</comments>
</file>

<file path=xl/sharedStrings.xml><?xml version="1.0" encoding="utf-8"?>
<sst xmlns="http://schemas.openxmlformats.org/spreadsheetml/2006/main" count="416" uniqueCount="225">
  <si>
    <t>Cattle</t>
  </si>
  <si>
    <t>Chickens</t>
  </si>
  <si>
    <t>Turkeys</t>
  </si>
  <si>
    <t>Horses</t>
  </si>
  <si>
    <t>Ewes</t>
  </si>
  <si>
    <t>Goats</t>
  </si>
  <si>
    <t>Subwatershed</t>
  </si>
  <si>
    <t>Dairy</t>
  </si>
  <si>
    <t>Beef</t>
  </si>
  <si>
    <t>Layers</t>
  </si>
  <si>
    <t>Broilers</t>
  </si>
  <si>
    <t>Broiler Breeders</t>
  </si>
  <si>
    <t>Toms</t>
  </si>
  <si>
    <t>Hens</t>
  </si>
  <si>
    <t>Breeders</t>
  </si>
  <si>
    <t>M</t>
  </si>
  <si>
    <t>D</t>
  </si>
  <si>
    <t>H</t>
  </si>
  <si>
    <t>RF-1</t>
  </si>
  <si>
    <t>RF-2</t>
  </si>
  <si>
    <t>RF-3</t>
  </si>
  <si>
    <t>Muskrats</t>
  </si>
  <si>
    <t>Wild Turkeys</t>
  </si>
  <si>
    <t>Peak</t>
  </si>
  <si>
    <t>Season 2</t>
  </si>
  <si>
    <t>Season 3</t>
  </si>
  <si>
    <t>hectares</t>
  </si>
  <si>
    <t>0.025 turkeys per hectare</t>
  </si>
  <si>
    <t>Raccoons (low density 0.040; high density 0.12)</t>
  </si>
  <si>
    <t>Beavers (0.037)</t>
  </si>
  <si>
    <t>Geese (0.19 – off season 0.27 – peak season)</t>
  </si>
  <si>
    <t>Ducks (0.15 – off season 0.23 – peak season )</t>
  </si>
  <si>
    <t>Habitat</t>
  </si>
  <si>
    <t xml:space="preserve">91-m buffer around main streams and impoundments </t>
  </si>
  <si>
    <t xml:space="preserve">Entire Watershed except urban and farmstead </t>
  </si>
  <si>
    <t xml:space="preserve"> 13/km of ditch or medium sized stream intersecting pasture; 16/km of pond or lake edge; 81/km of slow-moving river edge </t>
  </si>
  <si>
    <t>high density on forest within 183 m of a permanent water source or 0.8km of cropland</t>
  </si>
  <si>
    <t>Area</t>
  </si>
  <si>
    <t>Urban</t>
  </si>
  <si>
    <t>Irrigated portion (acres)</t>
  </si>
  <si>
    <t>RF-1 (upper)</t>
  </si>
  <si>
    <t>RF-2 (middle)</t>
  </si>
  <si>
    <t>RF-3 (lower)</t>
  </si>
  <si>
    <t>11.8% of area is paved</t>
  </si>
  <si>
    <t>Acres (`1Ha = 2.47105 acres)</t>
  </si>
  <si>
    <t>Ag census- less than 2 horses per 100 acre of all land in farms</t>
  </si>
  <si>
    <t>Ag census- less than 2 sheep/lamb per 100 acre of all land in farms</t>
  </si>
  <si>
    <t>Ag census- less than 2 goats per 100 acre of all land in farms</t>
  </si>
  <si>
    <t>Acres of Farmland</t>
  </si>
  <si>
    <t>USDA ag cencus says Taos county has less than 10% of land in farms as percent of land area</t>
  </si>
  <si>
    <t>Elk (need to add) 0.12 per hectare?</t>
  </si>
  <si>
    <t>Total Forest Acreage</t>
  </si>
  <si>
    <t>Total Residential 1 Acreage</t>
  </si>
  <si>
    <t>Total Residential 2 Acreage</t>
  </si>
  <si>
    <t>Total Residential 3 Acreage</t>
  </si>
  <si>
    <t>Total Cropland Acreage</t>
  </si>
  <si>
    <t>Total Pasture Acreage</t>
  </si>
  <si>
    <t>Total Loafing Lot Acreage</t>
  </si>
  <si>
    <t>Loafing Lot Time             Dairy      Beef</t>
  </si>
  <si>
    <t>Pasture 1 Fraction of Total</t>
  </si>
  <si>
    <t>Pasture 2 Fraction of Total</t>
  </si>
  <si>
    <t>Pasture 3 Fraction of Total</t>
  </si>
  <si>
    <t>Stream Access Pasture 1</t>
  </si>
  <si>
    <t>Stream Access Pasture 2</t>
  </si>
  <si>
    <t>Stream Access Pasture 3</t>
  </si>
  <si>
    <t>Straight Pipes</t>
  </si>
  <si>
    <t>Persons/ Unsewered House</t>
  </si>
  <si>
    <t>Persons/ Sewered House</t>
  </si>
  <si>
    <t>Number Unsewered Houses</t>
  </si>
  <si>
    <t>Number Sewered Houses</t>
  </si>
  <si>
    <t>Septic Systems</t>
  </si>
  <si>
    <t>oldest</t>
  </si>
  <si>
    <t>mid-age</t>
  </si>
  <si>
    <t>newest</t>
  </si>
  <si>
    <t>RF-1-upper</t>
  </si>
  <si>
    <t>RF-2-middle</t>
  </si>
  <si>
    <t>RF-3-lower</t>
  </si>
  <si>
    <t>6% estimate</t>
  </si>
  <si>
    <t>9% estimate</t>
  </si>
  <si>
    <t>from cropscape</t>
  </si>
  <si>
    <t>is well below th eirrigated land acrage--used that</t>
  </si>
  <si>
    <t>Forested land</t>
  </si>
  <si>
    <t>size</t>
  </si>
  <si>
    <t>stream acres accessed by cattle</t>
  </si>
  <si>
    <t>Pasture(cropscape</t>
  </si>
  <si>
    <t>6206 for now--asking about Capulin</t>
  </si>
  <si>
    <t>764 (5%)</t>
  </si>
  <si>
    <t>Deer</t>
  </si>
  <si>
    <t>Raccoons</t>
  </si>
  <si>
    <t>Beavers</t>
  </si>
  <si>
    <t>Geese</t>
  </si>
  <si>
    <t>Ducks</t>
  </si>
  <si>
    <t>Capulin upper:</t>
  </si>
  <si>
    <t>Capulin middle:</t>
  </si>
  <si>
    <t>upper:</t>
  </si>
  <si>
    <t>middle</t>
  </si>
  <si>
    <t>lower</t>
  </si>
  <si>
    <t> 1.2-1.9 deer per square kilometer</t>
  </si>
  <si>
    <t>square kilometers</t>
  </si>
  <si>
    <t>Total acres</t>
  </si>
  <si>
    <t>Sources:</t>
  </si>
  <si>
    <t>US Census average household size</t>
  </si>
  <si>
    <t>Town of Taos Public Works Statement on number of sewered houses</t>
  </si>
  <si>
    <t>Mapping estimation of houses in  RF-2 and RF-3</t>
  </si>
  <si>
    <t>Beef - USFS counts and AB counts</t>
  </si>
  <si>
    <t>Wildlife Estimates and Sources</t>
  </si>
  <si>
    <t>Final Rounded Livestock and Wildlife Values for Spreadsheet</t>
  </si>
  <si>
    <t>Deer Calculation Based on USFS Correspondence:</t>
  </si>
  <si>
    <t>Estimate is  1 in 25 households or a visual estimate</t>
  </si>
  <si>
    <t>Livestock Estimates and Sources</t>
  </si>
  <si>
    <t>households</t>
  </si>
  <si>
    <t># of chickens - estimate with 1 in 25 households</t>
  </si>
  <si>
    <t xml:space="preserve">Visual estimates 1 in 25 is too low based on experience </t>
  </si>
  <si>
    <t>Chicken Estimates</t>
  </si>
  <si>
    <t>.040 (low estimate from above) used for new estimates</t>
  </si>
  <si>
    <t>Source: BSLC Manual</t>
  </si>
  <si>
    <t>Source of most wildlife and livestock values are the Bacteria Source Load Calculator Users Manual unless otherwise specified</t>
  </si>
  <si>
    <t>estimates frm chapter 2</t>
  </si>
  <si>
    <t>Final Numbers Used</t>
  </si>
  <si>
    <t>Sources for above numbers</t>
  </si>
  <si>
    <t>Deer (1.2 per square kilometer)</t>
  </si>
  <si>
    <t>rounded</t>
  </si>
  <si>
    <t>Numbers from the below table were used for the final numbers above. Forest known to be used as Pasture for cattle was considered Pasture not Forest.</t>
  </si>
  <si>
    <t>Forest land acres</t>
  </si>
  <si>
    <t>Capulin</t>
  </si>
  <si>
    <t>Total</t>
  </si>
  <si>
    <t>Flechado-upper</t>
  </si>
  <si>
    <t>Pasture in Upper = 6206+3436</t>
  </si>
  <si>
    <t>Pasture in Middle = 10308</t>
  </si>
  <si>
    <t>Residential Acreage was estimated last and subtracted from the total acreage</t>
  </si>
  <si>
    <t>Source Notes:</t>
  </si>
  <si>
    <r>
      <t>Numbers used in the Table above are highlighted in</t>
    </r>
    <r>
      <rPr>
        <b/>
        <sz val="11"/>
        <color rgb="FFFFFF00"/>
        <rFont val="Calibri (Body)"/>
      </rPr>
      <t xml:space="preserve"> Yellow</t>
    </r>
  </si>
  <si>
    <t>694 (cropscape)</t>
  </si>
  <si>
    <t>BSLC User Manual recommendations for straightpipe estimates</t>
  </si>
  <si>
    <t>Elk</t>
  </si>
  <si>
    <t>0.0109 elk/ha- USFS</t>
  </si>
  <si>
    <t>Report Summary</t>
  </si>
  <si>
    <t>These are values used in writing the TMDL report and/or presentation.</t>
  </si>
  <si>
    <t>Liquid</t>
  </si>
  <si>
    <t>Poultry</t>
  </si>
  <si>
    <t>Solid</t>
  </si>
  <si>
    <t>acres</t>
  </si>
  <si>
    <t>gal</t>
  </si>
  <si>
    <t>cfu</t>
  </si>
  <si>
    <t>lbs</t>
  </si>
  <si>
    <t xml:space="preserve">acres </t>
  </si>
  <si>
    <t>Cropland</t>
  </si>
  <si>
    <t>Pasture 1</t>
  </si>
  <si>
    <t>Pasture 2</t>
  </si>
  <si>
    <t>Pasture 3</t>
  </si>
  <si>
    <t>Manure produced per year</t>
  </si>
  <si>
    <t>gal or lb/year</t>
  </si>
  <si>
    <t>Animal</t>
  </si>
  <si>
    <t>Confinement</t>
  </si>
  <si>
    <t>Loafing Lot</t>
  </si>
  <si>
    <t>Streams</t>
  </si>
  <si>
    <t>Milk</t>
  </si>
  <si>
    <t>Dry</t>
  </si>
  <si>
    <t>Heifer</t>
  </si>
  <si>
    <t>Sheep</t>
  </si>
  <si>
    <t>FC Load</t>
  </si>
  <si>
    <t>cfu/year</t>
  </si>
  <si>
    <t>Load Breakdown</t>
  </si>
  <si>
    <t>Percent Contribution</t>
  </si>
  <si>
    <t>Load Breakdown per day</t>
  </si>
  <si>
    <t>Milkers</t>
  </si>
  <si>
    <t>Crops</t>
  </si>
  <si>
    <t>Pasture</t>
  </si>
  <si>
    <t>Residential</t>
  </si>
  <si>
    <t xml:space="preserve">Forest </t>
  </si>
  <si>
    <t>LoafingLots</t>
  </si>
  <si>
    <t>Wildlife</t>
  </si>
  <si>
    <t>Die-off</t>
  </si>
  <si>
    <t>Land</t>
  </si>
  <si>
    <t>Forest</t>
  </si>
  <si>
    <t>Loafing Lots</t>
  </si>
  <si>
    <t>CropApp</t>
  </si>
  <si>
    <t>P1App</t>
  </si>
  <si>
    <t>P2App</t>
  </si>
  <si>
    <t>P3App</t>
  </si>
  <si>
    <t>FCProd</t>
  </si>
  <si>
    <t>Production Breakdown</t>
  </si>
  <si>
    <t>Per Day</t>
  </si>
  <si>
    <t>Agriculture</t>
  </si>
  <si>
    <t>Humans</t>
  </si>
  <si>
    <t>Pets</t>
  </si>
  <si>
    <t>Sewered</t>
  </si>
  <si>
    <t>Unsewered</t>
  </si>
  <si>
    <t>Watershed Population</t>
  </si>
  <si>
    <t>Load Reduction Appendix</t>
  </si>
  <si>
    <t>Please Fill in the Following Information to Complete the Tables:</t>
  </si>
  <si>
    <t>Source</t>
  </si>
  <si>
    <t>Allocation Scenario Reduction</t>
  </si>
  <si>
    <t>Cattle in Stream</t>
  </si>
  <si>
    <t>Other Livestock in Stream</t>
  </si>
  <si>
    <t>Wildlife in Stream</t>
  </si>
  <si>
    <t>sub-watershed RF-1</t>
  </si>
  <si>
    <t>Tables for the WBP-made by Shannon</t>
  </si>
  <si>
    <t>Land Use</t>
  </si>
  <si>
    <r>
      <t>Current conditions load (x 10</t>
    </r>
    <r>
      <rPr>
        <b/>
        <vertAlign val="superscript"/>
        <sz val="10"/>
        <rFont val="Arial"/>
        <family val="2"/>
      </rPr>
      <t>8</t>
    </r>
    <r>
      <rPr>
        <b/>
        <sz val="10"/>
        <rFont val="Arial"/>
        <family val="2"/>
      </rPr>
      <t xml:space="preserve"> cfu/year)</t>
    </r>
  </si>
  <si>
    <t>Percent of total load from nonpoint sources</t>
  </si>
  <si>
    <r>
      <t>TMDL nonpoint source allocation load
(x 10</t>
    </r>
    <r>
      <rPr>
        <b/>
        <vertAlign val="superscript"/>
        <sz val="10"/>
        <rFont val="Arial"/>
        <family val="2"/>
      </rPr>
      <t>8</t>
    </r>
    <r>
      <rPr>
        <b/>
        <sz val="10"/>
        <rFont val="Arial"/>
        <family val="2"/>
      </rPr>
      <t xml:space="preserve"> cfu/year)</t>
    </r>
  </si>
  <si>
    <t>Percent Reduction</t>
  </si>
  <si>
    <r>
      <t xml:space="preserve">Upper Rio Fernando de Taos </t>
    </r>
    <r>
      <rPr>
        <b/>
        <i/>
        <sz val="12"/>
        <color theme="3" tint="0.39997558519241921"/>
        <rFont val="Times New Roman"/>
        <family val="1"/>
      </rPr>
      <t>E. coli</t>
    </r>
    <r>
      <rPr>
        <b/>
        <sz val="12"/>
        <color theme="3" tint="0.39997558519241921"/>
        <rFont val="Times New Roman"/>
        <family val="1"/>
      </rPr>
      <t xml:space="preserve"> Loading (CFU/year),  (x 108 cfu/year)</t>
    </r>
  </si>
  <si>
    <t>% of Total</t>
  </si>
  <si>
    <r>
      <t xml:space="preserve">Middle </t>
    </r>
    <r>
      <rPr>
        <b/>
        <i/>
        <sz val="12"/>
        <color theme="3" tint="0.39997558519241921"/>
        <rFont val="Times New Roman"/>
        <family val="1"/>
      </rPr>
      <t>E. coli</t>
    </r>
    <r>
      <rPr>
        <b/>
        <sz val="12"/>
        <color theme="3" tint="0.39997558519241921"/>
        <rFont val="Times New Roman"/>
        <family val="1"/>
      </rPr>
      <t xml:space="preserve"> Loading (CFU/year)</t>
    </r>
  </si>
  <si>
    <r>
      <t xml:space="preserve">Lower </t>
    </r>
    <r>
      <rPr>
        <b/>
        <i/>
        <sz val="12"/>
        <color theme="3" tint="0.39997558519241921"/>
        <rFont val="Times New Roman"/>
        <family val="1"/>
      </rPr>
      <t>E. coli</t>
    </r>
    <r>
      <rPr>
        <b/>
        <sz val="12"/>
        <color theme="3" tint="0.39997558519241921"/>
        <rFont val="Times New Roman"/>
        <family val="1"/>
      </rPr>
      <t xml:space="preserve"> Loading (CFU/year)</t>
    </r>
  </si>
  <si>
    <r>
      <t>Cropland</t>
    </r>
    <r>
      <rPr>
        <sz val="8"/>
        <color theme="3" tint="0.39997558519241921"/>
        <rFont val="Times New Roman"/>
        <family val="1"/>
      </rPr>
      <t>  </t>
    </r>
  </si>
  <si>
    <t>Wetlands</t>
  </si>
  <si>
    <t>LL</t>
  </si>
  <si>
    <r>
      <t xml:space="preserve">RF-1 </t>
    </r>
    <r>
      <rPr>
        <sz val="12"/>
        <color theme="3" tint="0.39997558519241921"/>
        <rFont val="Times New Roman"/>
        <family val="1"/>
      </rPr>
      <t> </t>
    </r>
    <r>
      <rPr>
        <b/>
        <i/>
        <sz val="12"/>
        <color theme="3" tint="0.39997558519241921"/>
        <rFont val="Times New Roman"/>
        <family val="1"/>
      </rPr>
      <t>E. coli</t>
    </r>
    <r>
      <rPr>
        <b/>
        <sz val="12"/>
        <color theme="3" tint="0.39997558519241921"/>
        <rFont val="Times New Roman"/>
        <family val="1"/>
      </rPr>
      <t xml:space="preserve"> Loading (CFU/year)</t>
    </r>
  </si>
  <si>
    <r>
      <t xml:space="preserve">RF-2 </t>
    </r>
    <r>
      <rPr>
        <b/>
        <i/>
        <sz val="12"/>
        <color theme="3" tint="0.39997558519241921"/>
        <rFont val="Times New Roman"/>
        <family val="1"/>
      </rPr>
      <t>E. coli</t>
    </r>
    <r>
      <rPr>
        <b/>
        <sz val="12"/>
        <color theme="3" tint="0.39997558519241921"/>
        <rFont val="Times New Roman"/>
        <family val="1"/>
      </rPr>
      <t xml:space="preserve"> Loading (CFU/year)</t>
    </r>
  </si>
  <si>
    <r>
      <t xml:space="preserve">RF-3 </t>
    </r>
    <r>
      <rPr>
        <b/>
        <i/>
        <sz val="12"/>
        <color theme="3" tint="0.39997558519241921"/>
        <rFont val="Times New Roman"/>
        <family val="1"/>
      </rPr>
      <t>E. coli</t>
    </r>
    <r>
      <rPr>
        <b/>
        <sz val="12"/>
        <color theme="3" tint="0.39997558519241921"/>
        <rFont val="Times New Roman"/>
        <family val="1"/>
      </rPr>
      <t xml:space="preserve"> Loading (CFU/year)</t>
    </r>
  </si>
  <si>
    <t>% Total</t>
  </si>
  <si>
    <r>
      <t>Current Conditions load (x 10</t>
    </r>
    <r>
      <rPr>
        <b/>
        <vertAlign val="superscript"/>
        <sz val="10"/>
        <rFont val="Arial"/>
        <family val="2"/>
      </rPr>
      <t>8</t>
    </r>
    <r>
      <rPr>
        <b/>
        <sz val="10"/>
        <rFont val="Arial"/>
        <family val="2"/>
      </rPr>
      <t xml:space="preserve"> cfu/year)</t>
    </r>
  </si>
  <si>
    <t>Percent of total load to stream from direct nonpoint sources</t>
  </si>
  <si>
    <r>
      <t>TMDL direct nonpoint source allocation load
(x 10</t>
    </r>
    <r>
      <rPr>
        <b/>
        <vertAlign val="superscript"/>
        <sz val="10"/>
        <rFont val="Arial"/>
        <family val="2"/>
      </rPr>
      <t>8</t>
    </r>
    <r>
      <rPr>
        <b/>
        <sz val="10"/>
        <rFont val="Arial"/>
        <family val="2"/>
      </rPr>
      <t xml:space="preserve"> cfu/year)</t>
    </r>
  </si>
  <si>
    <t>Cattle in streams</t>
  </si>
  <si>
    <t>Cattle in Streams</t>
  </si>
  <si>
    <t>Wildlife in streams</t>
  </si>
  <si>
    <t>Other Livestock in Streams</t>
  </si>
  <si>
    <t>Straight pipes</t>
  </si>
  <si>
    <t>Wildlife in Streams</t>
  </si>
  <si>
    <t>sub-watershed RF-2</t>
  </si>
  <si>
    <t>sub-watershed RF-3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</si>
</sst>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4">
    <font>
      <sz val="11"/>
      <color theme="1"/>
      <name val="Calibri"/>
      <family val="2"/>
      <scheme val="minor"/>
    </font>
    <font>
      <sz val="10"/>
      <name val="Arial"/>
      <family val="2"/>
    </font>
    <font>
      <sz val="9"/>
      <color indexed="81"/>
      <name val="Tahoma"/>
      <family val="2"/>
    </font>
    <font>
      <sz val="8"/>
      <color indexed="81"/>
      <name val="Tahoma"/>
      <family val="2"/>
    </font>
    <font>
      <b/>
      <sz val="8"/>
      <color indexed="10"/>
      <name val="Tahoma"/>
      <family val="2"/>
    </font>
    <font>
      <b/>
      <sz val="8"/>
      <color indexed="81"/>
      <name val="Tahoma"/>
      <family val="2"/>
    </font>
    <font>
      <sz val="10"/>
      <color rgb="FF000000"/>
      <name val="Tahoma"/>
      <family val="2"/>
    </font>
    <font>
      <b/>
      <sz val="10"/>
      <color rgb="FF000000"/>
      <name val="Tahoma"/>
      <family val="2"/>
    </font>
    <font>
      <b/>
      <sz val="11"/>
      <color theme="1"/>
      <name val="Calibri"/>
      <family val="2"/>
      <scheme val="minor"/>
    </font>
    <font>
      <b/>
      <sz val="14"/>
      <color theme="1"/>
      <name val="Calibri"/>
      <family val="2"/>
      <scheme val="minor"/>
    </font>
    <font>
      <sz val="9"/>
      <color rgb="FF000000"/>
      <name val="Tahoma"/>
      <family val="2"/>
    </font>
    <font>
      <b/>
      <sz val="11"/>
      <color rgb="FFFFFF00"/>
      <name val="Calibri (Body)"/>
    </font>
    <font>
      <sz val="8"/>
      <color rgb="FF000000"/>
      <name val="Tahoma"/>
      <family val="2"/>
    </font>
    <font>
      <b/>
      <sz val="24"/>
      <name val="Bookman Old Style"/>
      <family val="1"/>
    </font>
    <font>
      <sz val="10"/>
      <color theme="3" tint="0.39997558519241921"/>
      <name val="Arial"/>
      <family val="2"/>
    </font>
    <font>
      <b/>
      <sz val="10"/>
      <name val="Arial"/>
      <family val="2"/>
    </font>
    <font>
      <b/>
      <sz val="10"/>
      <color theme="3" tint="0.39997558519241921"/>
      <name val="Arial"/>
      <family val="2"/>
    </font>
    <font>
      <b/>
      <vertAlign val="superscript"/>
      <sz val="10"/>
      <name val="Arial"/>
      <family val="2"/>
    </font>
    <font>
      <b/>
      <sz val="12"/>
      <color theme="3" tint="0.39997558519241921"/>
      <name val="Times New Roman"/>
      <family val="1"/>
    </font>
    <font>
      <b/>
      <i/>
      <sz val="12"/>
      <color theme="3" tint="0.39997558519241921"/>
      <name val="Times New Roman"/>
      <family val="1"/>
    </font>
    <font>
      <sz val="12"/>
      <color theme="3" tint="0.39997558519241921"/>
      <name val="Times New Roman"/>
      <family val="1"/>
    </font>
    <font>
      <sz val="8"/>
      <color theme="3" tint="0.39997558519241921"/>
      <name val="Times New Roman"/>
      <family val="1"/>
    </font>
    <font>
      <sz val="10"/>
      <color theme="3" tint="0.39997558519241921"/>
      <name val="Times New Roman"/>
      <family val="1"/>
    </font>
    <font>
      <sz val="12"/>
      <color theme="3" tint="0.39997558519241921"/>
      <name val="Arial"/>
      <family val="2"/>
    </font>
  </fonts>
  <fills count="5">
    <fill>
      <patternFill patternType="none"/>
    </fill>
    <fill>
      <patternFill patternType="gray125"/>
    </fill>
    <fill>
      <patternFill patternType="solid">
        <fgColor rgb="FFFFFF00"/>
        <bgColor indexed="64"/>
      </patternFill>
    </fill>
    <fill>
      <patternFill patternType="solid">
        <fgColor theme="5" tint="0.59999389629810485"/>
        <bgColor indexed="64"/>
      </patternFill>
    </fill>
    <fill>
      <patternFill patternType="solid">
        <fgColor indexed="14"/>
        <bgColor indexed="64"/>
      </patternFill>
    </fill>
  </fills>
  <borders count="4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ck">
        <color indexed="20"/>
      </left>
      <right style="thin">
        <color indexed="20"/>
      </right>
      <top style="thick">
        <color indexed="20"/>
      </top>
      <bottom style="thin">
        <color indexed="20"/>
      </bottom>
      <diagonal/>
    </border>
    <border>
      <left style="thin">
        <color indexed="20"/>
      </left>
      <right style="thick">
        <color indexed="20"/>
      </right>
      <top style="thick">
        <color indexed="20"/>
      </top>
      <bottom style="thin">
        <color indexed="20"/>
      </bottom>
      <diagonal/>
    </border>
    <border>
      <left style="thick">
        <color indexed="20"/>
      </left>
      <right style="thin">
        <color indexed="20"/>
      </right>
      <top style="thin">
        <color indexed="20"/>
      </top>
      <bottom style="thin">
        <color indexed="20"/>
      </bottom>
      <diagonal/>
    </border>
    <border>
      <left style="thin">
        <color indexed="20"/>
      </left>
      <right style="thick">
        <color indexed="20"/>
      </right>
      <top style="thin">
        <color indexed="20"/>
      </top>
      <bottom style="thin">
        <color indexed="20"/>
      </bottom>
      <diagonal/>
    </border>
    <border>
      <left style="thick">
        <color indexed="20"/>
      </left>
      <right style="thin">
        <color indexed="20"/>
      </right>
      <top style="thin">
        <color indexed="20"/>
      </top>
      <bottom style="thick">
        <color indexed="20"/>
      </bottom>
      <diagonal/>
    </border>
    <border>
      <left style="thin">
        <color indexed="20"/>
      </left>
      <right style="thick">
        <color indexed="20"/>
      </right>
      <top style="thin">
        <color indexed="20"/>
      </top>
      <bottom style="thick">
        <color indexed="20"/>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131">
    <xf numFmtId="0" fontId="0" fillId="0" borderId="0" xfId="0"/>
    <xf numFmtId="0" fontId="0" fillId="0" borderId="0" xfId="0" applyAlignment="1">
      <alignment wrapText="1"/>
    </xf>
    <xf numFmtId="0" fontId="0" fillId="0" borderId="1" xfId="0" applyBorder="1" applyAlignment="1">
      <alignment wrapText="1"/>
    </xf>
    <xf numFmtId="0" fontId="0" fillId="0" borderId="2" xfId="0" applyBorder="1"/>
    <xf numFmtId="0" fontId="0" fillId="0" borderId="3" xfId="0" applyBorder="1"/>
    <xf numFmtId="0" fontId="0" fillId="0" borderId="4" xfId="0" applyBorder="1"/>
    <xf numFmtId="0" fontId="0" fillId="0" borderId="5" xfId="0" applyBorder="1"/>
    <xf numFmtId="0" fontId="0" fillId="0" borderId="5" xfId="0" applyBorder="1" applyAlignment="1">
      <alignment horizontal="center"/>
    </xf>
    <xf numFmtId="0" fontId="0" fillId="0" borderId="6" xfId="0" applyBorder="1"/>
    <xf numFmtId="4" fontId="0" fillId="0" borderId="3" xfId="0" applyNumberFormat="1" applyBorder="1"/>
    <xf numFmtId="0" fontId="0" fillId="0" borderId="5" xfId="0" applyBorder="1" applyAlignment="1">
      <alignment wrapText="1"/>
    </xf>
    <xf numFmtId="0" fontId="0" fillId="0" borderId="8" xfId="0" applyBorder="1" applyAlignment="1">
      <alignment wrapText="1"/>
    </xf>
    <xf numFmtId="0" fontId="0" fillId="0" borderId="9" xfId="0" applyBorder="1"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Fill="1" applyBorder="1" applyAlignment="1">
      <alignment wrapText="1"/>
    </xf>
    <xf numFmtId="4" fontId="0" fillId="0" borderId="0" xfId="0" applyNumberFormat="1"/>
    <xf numFmtId="0" fontId="0" fillId="0" borderId="0" xfId="0" applyBorder="1"/>
    <xf numFmtId="0" fontId="0" fillId="0" borderId="0" xfId="0" applyBorder="1" applyAlignment="1">
      <alignment horizontal="center" vertical="center" wrapText="1"/>
    </xf>
    <xf numFmtId="0" fontId="0" fillId="0" borderId="0" xfId="0" applyBorder="1" applyAlignment="1">
      <alignment horizontal="center"/>
    </xf>
    <xf numFmtId="0" fontId="0" fillId="0" borderId="0" xfId="0" applyBorder="1" applyAlignment="1">
      <alignment wrapText="1"/>
    </xf>
    <xf numFmtId="0" fontId="9" fillId="0" borderId="7" xfId="0" applyFont="1" applyBorder="1" applyAlignment="1">
      <alignment wrapText="1"/>
    </xf>
    <xf numFmtId="9" fontId="0" fillId="0" borderId="5" xfId="0" applyNumberFormat="1" applyBorder="1" applyAlignment="1">
      <alignment wrapText="1"/>
    </xf>
    <xf numFmtId="4" fontId="0" fillId="0" borderId="5" xfId="0" applyNumberFormat="1" applyBorder="1" applyAlignment="1">
      <alignment wrapText="1"/>
    </xf>
    <xf numFmtId="9" fontId="0" fillId="0" borderId="11" xfId="0" applyNumberFormat="1" applyBorder="1" applyAlignment="1">
      <alignment wrapText="1"/>
    </xf>
    <xf numFmtId="0" fontId="8" fillId="0" borderId="10" xfId="0" applyFont="1" applyBorder="1"/>
    <xf numFmtId="0" fontId="8" fillId="0" borderId="5" xfId="0" applyFont="1" applyBorder="1" applyAlignment="1">
      <alignment wrapText="1"/>
    </xf>
    <xf numFmtId="10" fontId="0" fillId="0" borderId="5" xfId="0" applyNumberFormat="1" applyBorder="1" applyAlignment="1">
      <alignment wrapText="1"/>
    </xf>
    <xf numFmtId="3" fontId="0" fillId="0" borderId="5" xfId="0" applyNumberFormat="1" applyBorder="1" applyAlignment="1">
      <alignment wrapText="1"/>
    </xf>
    <xf numFmtId="0" fontId="8" fillId="0" borderId="0" xfId="0" applyFont="1"/>
    <xf numFmtId="0" fontId="9" fillId="0" borderId="0" xfId="0" applyFont="1"/>
    <xf numFmtId="0" fontId="8" fillId="0" borderId="8" xfId="0" applyFont="1" applyBorder="1" applyAlignment="1">
      <alignment wrapText="1"/>
    </xf>
    <xf numFmtId="0" fontId="8" fillId="0" borderId="9" xfId="0" applyFont="1" applyBorder="1" applyAlignment="1">
      <alignment wrapText="1"/>
    </xf>
    <xf numFmtId="0" fontId="8" fillId="0" borderId="5" xfId="0" applyFont="1" applyBorder="1"/>
    <xf numFmtId="0" fontId="8" fillId="0" borderId="11" xfId="0" applyFont="1" applyBorder="1" applyAlignment="1">
      <alignment wrapText="1"/>
    </xf>
    <xf numFmtId="0" fontId="8" fillId="0" borderId="10" xfId="0" applyFont="1" applyBorder="1" applyAlignment="1">
      <alignment wrapText="1"/>
    </xf>
    <xf numFmtId="0" fontId="0" fillId="0" borderId="16" xfId="0" applyFill="1" applyBorder="1" applyAlignment="1">
      <alignment wrapText="1"/>
    </xf>
    <xf numFmtId="0" fontId="0" fillId="0" borderId="17" xfId="0" applyBorder="1" applyAlignment="1">
      <alignment wrapText="1"/>
    </xf>
    <xf numFmtId="0" fontId="0" fillId="0" borderId="18" xfId="0" applyBorder="1" applyAlignment="1">
      <alignment wrapText="1"/>
    </xf>
    <xf numFmtId="0" fontId="1" fillId="0" borderId="18" xfId="0" applyFont="1" applyBorder="1" applyAlignment="1">
      <alignment wrapText="1"/>
    </xf>
    <xf numFmtId="0" fontId="0" fillId="0" borderId="21" xfId="0" applyBorder="1" applyAlignment="1">
      <alignment wrapText="1"/>
    </xf>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0" fillId="0" borderId="28" xfId="0" applyBorder="1"/>
    <xf numFmtId="0" fontId="8" fillId="0" borderId="12" xfId="0" applyFont="1" applyBorder="1" applyAlignment="1">
      <alignment wrapText="1"/>
    </xf>
    <xf numFmtId="0" fontId="0" fillId="2" borderId="5" xfId="0" applyFill="1" applyBorder="1" applyAlignment="1">
      <alignment wrapText="1"/>
    </xf>
    <xf numFmtId="0" fontId="0" fillId="2" borderId="13" xfId="0" applyFill="1" applyBorder="1" applyAlignment="1">
      <alignment wrapText="1"/>
    </xf>
    <xf numFmtId="0" fontId="0" fillId="0" borderId="2" xfId="0" applyFill="1" applyBorder="1"/>
    <xf numFmtId="0" fontId="0" fillId="0" borderId="27" xfId="0" applyFill="1" applyBorder="1"/>
    <xf numFmtId="0" fontId="8" fillId="3" borderId="0" xfId="0" applyFont="1" applyFill="1" applyAlignment="1">
      <alignment wrapText="1"/>
    </xf>
    <xf numFmtId="0" fontId="8" fillId="3" borderId="0" xfId="0" applyFont="1" applyFill="1"/>
    <xf numFmtId="0" fontId="8" fillId="0" borderId="0" xfId="0" applyFont="1" applyBorder="1"/>
    <xf numFmtId="0" fontId="8" fillId="0" borderId="0" xfId="0" applyFont="1" applyBorder="1" applyAlignment="1">
      <alignment horizontal="center" vertical="center" wrapText="1"/>
    </xf>
    <xf numFmtId="0" fontId="8" fillId="0" borderId="0" xfId="0" applyFont="1" applyBorder="1" applyAlignment="1">
      <alignment horizontal="center"/>
    </xf>
    <xf numFmtId="0" fontId="0" fillId="0" borderId="19" xfId="0" applyBorder="1" applyAlignment="1">
      <alignment horizontal="center" wrapText="1"/>
    </xf>
    <xf numFmtId="0" fontId="0" fillId="0" borderId="20" xfId="0" applyBorder="1" applyAlignment="1">
      <alignment horizontal="center" wrapText="1"/>
    </xf>
    <xf numFmtId="0" fontId="0" fillId="0" borderId="1" xfId="0" applyBorder="1" applyAlignment="1">
      <alignment horizontal="center" vertical="center" wrapText="1"/>
    </xf>
    <xf numFmtId="0" fontId="0" fillId="0" borderId="5" xfId="0" applyBorder="1" applyAlignment="1">
      <alignment horizontal="center" vertical="center" wrapText="1"/>
    </xf>
    <xf numFmtId="0" fontId="0" fillId="0" borderId="5" xfId="0" applyFont="1" applyBorder="1" applyAlignment="1">
      <alignment wrapText="1"/>
    </xf>
    <xf numFmtId="0" fontId="0" fillId="0" borderId="13" xfId="0" applyFont="1" applyBorder="1" applyAlignment="1">
      <alignment wrapText="1"/>
    </xf>
    <xf numFmtId="0" fontId="0" fillId="0" borderId="15" xfId="0" applyFill="1" applyBorder="1" applyAlignment="1">
      <alignment horizontal="center"/>
    </xf>
    <xf numFmtId="0" fontId="13" fillId="0" borderId="0" xfId="0" applyFont="1" applyAlignment="1">
      <alignment horizontal="center"/>
    </xf>
    <xf numFmtId="0" fontId="0" fillId="0" borderId="0" xfId="0" applyAlignment="1">
      <alignment horizontal="center"/>
    </xf>
    <xf numFmtId="0" fontId="0" fillId="0" borderId="0" xfId="0" applyAlignment="1">
      <alignment horizontal="center" wrapText="1"/>
    </xf>
    <xf numFmtId="0" fontId="1" fillId="0" borderId="0" xfId="0" applyFont="1" applyAlignment="1">
      <alignment wrapText="1"/>
    </xf>
    <xf numFmtId="0" fontId="0" fillId="0" borderId="0" xfId="0" applyAlignment="1">
      <alignment horizontal="right"/>
    </xf>
    <xf numFmtId="11" fontId="0" fillId="0" borderId="0" xfId="0" applyNumberFormat="1"/>
    <xf numFmtId="10" fontId="0" fillId="0" borderId="0" xfId="0" applyNumberFormat="1"/>
    <xf numFmtId="0" fontId="1" fillId="0" borderId="0" xfId="0" applyFont="1"/>
    <xf numFmtId="3" fontId="0" fillId="0" borderId="0" xfId="0" applyNumberFormat="1"/>
    <xf numFmtId="3" fontId="0" fillId="0" borderId="0" xfId="0" applyNumberFormat="1" applyAlignment="1">
      <alignment horizontal="center" wrapText="1"/>
    </xf>
    <xf numFmtId="9" fontId="0" fillId="0" borderId="0" xfId="0" applyNumberFormat="1" applyAlignment="1">
      <alignment horizontal="center" wrapText="1"/>
    </xf>
    <xf numFmtId="0" fontId="14" fillId="0" borderId="0" xfId="0" applyFont="1"/>
    <xf numFmtId="0" fontId="15" fillId="0" borderId="0" xfId="0" applyFont="1" applyAlignment="1">
      <alignment horizontal="center" wrapText="1"/>
    </xf>
    <xf numFmtId="0" fontId="0" fillId="0" borderId="0" xfId="0" applyAlignment="1">
      <alignment horizontal="center" wrapText="1"/>
    </xf>
    <xf numFmtId="0" fontId="14" fillId="0" borderId="0" xfId="0" applyFont="1" applyAlignment="1">
      <alignment horizontal="center"/>
    </xf>
    <xf numFmtId="0" fontId="0" fillId="0" borderId="0" xfId="0" applyAlignment="1">
      <alignment horizontal="left"/>
    </xf>
    <xf numFmtId="0" fontId="15" fillId="0" borderId="0" xfId="0" applyFont="1" applyAlignment="1">
      <alignment horizontal="center"/>
    </xf>
    <xf numFmtId="3" fontId="15" fillId="4" borderId="29" xfId="0" applyNumberFormat="1" applyFont="1" applyFill="1" applyBorder="1" applyAlignment="1">
      <alignment horizontal="center" wrapText="1"/>
    </xf>
    <xf numFmtId="9" fontId="15" fillId="4" borderId="30" xfId="0" applyNumberFormat="1" applyFont="1" applyFill="1" applyBorder="1" applyAlignment="1">
      <alignment horizontal="center" wrapText="1"/>
    </xf>
    <xf numFmtId="3" fontId="15" fillId="4" borderId="31" xfId="0" applyNumberFormat="1" applyFont="1" applyFill="1" applyBorder="1" applyAlignment="1">
      <alignment horizontal="center" wrapText="1"/>
    </xf>
    <xf numFmtId="9" fontId="15" fillId="4" borderId="32" xfId="0" applyNumberFormat="1" applyFont="1" applyFill="1" applyBorder="1" applyAlignment="1">
      <alignment horizontal="center" wrapText="1"/>
    </xf>
    <xf numFmtId="3" fontId="14" fillId="0" borderId="0" xfId="0" applyNumberFormat="1" applyFont="1" applyAlignment="1">
      <alignment horizontal="center" wrapText="1"/>
    </xf>
    <xf numFmtId="9" fontId="14" fillId="0" borderId="0" xfId="0" applyNumberFormat="1" applyFont="1" applyAlignment="1">
      <alignment horizontal="center" wrapText="1"/>
    </xf>
    <xf numFmtId="3" fontId="15" fillId="4" borderId="33" xfId="0" applyNumberFormat="1" applyFont="1" applyFill="1" applyBorder="1" applyAlignment="1">
      <alignment horizontal="center" wrapText="1"/>
    </xf>
    <xf numFmtId="9" fontId="15" fillId="4" borderId="34" xfId="0" applyNumberFormat="1" applyFont="1" applyFill="1" applyBorder="1" applyAlignment="1">
      <alignment horizontal="center" wrapText="1"/>
    </xf>
    <xf numFmtId="0" fontId="14" fillId="0" borderId="0" xfId="0" applyFont="1" applyAlignment="1">
      <alignment horizontal="center" wrapText="1"/>
    </xf>
    <xf numFmtId="3" fontId="16" fillId="0" borderId="0" xfId="0" applyNumberFormat="1" applyFont="1" applyAlignment="1">
      <alignment horizontal="center" wrapText="1"/>
    </xf>
    <xf numFmtId="9" fontId="16" fillId="0" borderId="0" xfId="0" applyNumberFormat="1" applyFont="1" applyAlignment="1">
      <alignment horizontal="center" wrapText="1"/>
    </xf>
    <xf numFmtId="0" fontId="15" fillId="0" borderId="35" xfId="0" applyFont="1" applyBorder="1" applyAlignment="1">
      <alignment horizontal="center" wrapText="1"/>
    </xf>
    <xf numFmtId="3" fontId="15" fillId="0" borderId="35" xfId="0" applyNumberFormat="1" applyFont="1" applyBorder="1" applyAlignment="1">
      <alignment horizontal="center" wrapText="1"/>
    </xf>
    <xf numFmtId="9" fontId="15" fillId="0" borderId="35" xfId="0" applyNumberFormat="1" applyFont="1" applyBorder="1" applyAlignment="1">
      <alignment horizontal="center" wrapText="1"/>
    </xf>
    <xf numFmtId="0" fontId="18" fillId="0" borderId="36" xfId="0" applyFont="1" applyBorder="1" applyAlignment="1">
      <alignment vertical="center" wrapText="1"/>
    </xf>
    <xf numFmtId="0" fontId="18" fillId="0" borderId="37" xfId="0" applyFont="1" applyBorder="1" applyAlignment="1">
      <alignment vertical="center" wrapText="1"/>
    </xf>
    <xf numFmtId="0" fontId="18" fillId="0" borderId="37" xfId="0" applyFont="1" applyBorder="1" applyAlignment="1">
      <alignment vertical="center"/>
    </xf>
    <xf numFmtId="0" fontId="0" fillId="0" borderId="35" xfId="0" applyBorder="1" applyAlignment="1">
      <alignment horizontal="center" wrapText="1"/>
    </xf>
    <xf numFmtId="3" fontId="0" fillId="0" borderId="35" xfId="0" applyNumberFormat="1" applyBorder="1" applyAlignment="1">
      <alignment horizontal="center" wrapText="1"/>
    </xf>
    <xf numFmtId="9" fontId="0" fillId="0" borderId="35" xfId="0" applyNumberFormat="1" applyBorder="1" applyAlignment="1">
      <alignment horizontal="center" wrapText="1"/>
    </xf>
    <xf numFmtId="0" fontId="20" fillId="0" borderId="38" xfId="0" applyFont="1" applyBorder="1" applyAlignment="1">
      <alignment vertical="center" wrapText="1"/>
    </xf>
    <xf numFmtId="11" fontId="14" fillId="0" borderId="35" xfId="0" applyNumberFormat="1" applyFont="1" applyBorder="1" applyAlignment="1">
      <alignment horizontal="center" wrapText="1"/>
    </xf>
    <xf numFmtId="10" fontId="20" fillId="0" borderId="39" xfId="0" applyNumberFormat="1" applyFont="1" applyBorder="1" applyAlignment="1">
      <alignment horizontal="right" vertical="center"/>
    </xf>
    <xf numFmtId="0" fontId="20" fillId="0" borderId="39" xfId="0" applyFont="1" applyBorder="1" applyAlignment="1">
      <alignment horizontal="right" vertical="center" wrapText="1"/>
    </xf>
    <xf numFmtId="0" fontId="20" fillId="0" borderId="39" xfId="0" applyFont="1" applyBorder="1" applyAlignment="1">
      <alignment horizontal="center" vertical="center" wrapText="1"/>
    </xf>
    <xf numFmtId="3" fontId="15" fillId="0" borderId="0" xfId="0" applyNumberFormat="1" applyFont="1" applyAlignment="1">
      <alignment horizontal="center" wrapText="1"/>
    </xf>
    <xf numFmtId="11" fontId="20" fillId="0" borderId="39" xfId="0" applyNumberFormat="1" applyFont="1" applyBorder="1" applyAlignment="1">
      <alignment horizontal="center" vertical="center" wrapText="1"/>
    </xf>
    <xf numFmtId="0" fontId="21" fillId="0" borderId="0" xfId="0" applyFont="1" applyAlignment="1">
      <alignment vertical="center"/>
    </xf>
    <xf numFmtId="0" fontId="22" fillId="0" borderId="0" xfId="0" applyFont="1" applyAlignment="1">
      <alignment vertical="center"/>
    </xf>
    <xf numFmtId="0" fontId="18" fillId="0" borderId="7" xfId="0" applyFont="1" applyBorder="1" applyAlignment="1">
      <alignment horizontal="center" wrapText="1"/>
    </xf>
    <xf numFmtId="0" fontId="18" fillId="0" borderId="8" xfId="0" applyFont="1" applyBorder="1" applyAlignment="1">
      <alignment horizontal="center" wrapText="1"/>
    </xf>
    <xf numFmtId="0" fontId="18" fillId="0" borderId="8" xfId="0" applyFont="1" applyBorder="1" applyAlignment="1">
      <alignment horizontal="center"/>
    </xf>
    <xf numFmtId="0" fontId="18" fillId="0" borderId="9" xfId="0" applyFont="1" applyBorder="1" applyAlignment="1">
      <alignment horizontal="center"/>
    </xf>
    <xf numFmtId="0" fontId="20" fillId="0" borderId="10" xfId="0" applyFont="1" applyBorder="1" applyAlignment="1">
      <alignment horizontal="center" wrapText="1"/>
    </xf>
    <xf numFmtId="11" fontId="20" fillId="0" borderId="5" xfId="0" applyNumberFormat="1" applyFont="1" applyBorder="1" applyAlignment="1">
      <alignment horizontal="center" wrapText="1"/>
    </xf>
    <xf numFmtId="9" fontId="23" fillId="0" borderId="5" xfId="0" applyNumberFormat="1" applyFont="1" applyBorder="1" applyAlignment="1">
      <alignment horizontal="center" wrapText="1"/>
    </xf>
    <xf numFmtId="0" fontId="20" fillId="0" borderId="5" xfId="0" applyFont="1" applyBorder="1" applyAlignment="1">
      <alignment horizontal="center" wrapText="1"/>
    </xf>
    <xf numFmtId="10" fontId="20" fillId="0" borderId="5" xfId="0" applyNumberFormat="1" applyFont="1" applyBorder="1" applyAlignment="1">
      <alignment horizontal="center"/>
    </xf>
    <xf numFmtId="10" fontId="20" fillId="0" borderId="11" xfId="0" applyNumberFormat="1" applyFont="1" applyBorder="1" applyAlignment="1">
      <alignment horizontal="center"/>
    </xf>
    <xf numFmtId="11" fontId="23" fillId="0" borderId="5" xfId="0" applyNumberFormat="1" applyFont="1" applyBorder="1" applyAlignment="1">
      <alignment horizontal="center" wrapText="1"/>
    </xf>
    <xf numFmtId="0" fontId="20" fillId="0" borderId="12" xfId="0" applyFont="1" applyBorder="1" applyAlignment="1">
      <alignment horizontal="center" wrapText="1"/>
    </xf>
    <xf numFmtId="11" fontId="20" fillId="0" borderId="13" xfId="0" applyNumberFormat="1" applyFont="1" applyBorder="1" applyAlignment="1">
      <alignment horizontal="center" wrapText="1"/>
    </xf>
    <xf numFmtId="10" fontId="20" fillId="0" borderId="13" xfId="0" applyNumberFormat="1" applyFont="1" applyBorder="1" applyAlignment="1">
      <alignment horizontal="center"/>
    </xf>
    <xf numFmtId="11" fontId="23" fillId="0" borderId="13" xfId="0" applyNumberFormat="1" applyFont="1" applyBorder="1" applyAlignment="1">
      <alignment horizontal="center" wrapText="1"/>
    </xf>
    <xf numFmtId="10" fontId="20" fillId="0" borderId="14" xfId="0" applyNumberFormat="1" applyFont="1" applyBorder="1" applyAlignment="1">
      <alignment horizontal="center"/>
    </xf>
    <xf numFmtId="164" fontId="14" fillId="0" borderId="0" xfId="0" applyNumberFormat="1" applyFont="1" applyAlignment="1">
      <alignment horizontal="center" wrapText="1"/>
    </xf>
  </cellXfs>
  <cellStyles count="1">
    <cellStyle name="Normal" xfId="0" builtinId="0"/>
  </cellStyles>
  <dxfs count="3">
    <dxf>
      <numFmt numFmtId="164" formatCode="0.0%"/>
    </dxf>
    <dxf>
      <numFmt numFmtId="164" formatCode="0.0%"/>
    </dxf>
    <dxf>
      <numFmt numFmtId="164" formatCode="0.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4.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165100</xdr:colOff>
          <xdr:row>3</xdr:row>
          <xdr:rowOff>152400</xdr:rowOff>
        </xdr:from>
        <xdr:to>
          <xdr:col>7</xdr:col>
          <xdr:colOff>266700</xdr:colOff>
          <xdr:row>6</xdr:row>
          <xdr:rowOff>50800</xdr:rowOff>
        </xdr:to>
        <xdr:sp macro="" textlink="">
          <xdr:nvSpPr>
            <xdr:cNvPr id="2" name="cmdExport" hidden="1">
              <a:extLst>
                <a:ext uri="{63B3BB69-23CF-44E3-9099-C40C66FF867C}">
                  <a14:compatExt spid="_x0000_s6145"/>
                </a:ext>
                <a:ext uri="{FF2B5EF4-FFF2-40B4-BE49-F238E27FC236}">
                  <a16:creationId xmlns:a16="http://schemas.microsoft.com/office/drawing/2014/main" id="{5413A138-48FD-9441-B301-BFDDB9A850F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177800</xdr:colOff>
          <xdr:row>3</xdr:row>
          <xdr:rowOff>152400</xdr:rowOff>
        </xdr:from>
        <xdr:to>
          <xdr:col>7</xdr:col>
          <xdr:colOff>279400</xdr:colOff>
          <xdr:row>6</xdr:row>
          <xdr:rowOff>50800</xdr:rowOff>
        </xdr:to>
        <xdr:sp macro="" textlink="">
          <xdr:nvSpPr>
            <xdr:cNvPr id="3" name="cmdAccSqExport" hidden="1">
              <a:extLst>
                <a:ext uri="{63B3BB69-23CF-44E3-9099-C40C66FF867C}">
                  <a14:compatExt spid="_x0000_s6146"/>
                </a:ext>
                <a:ext uri="{FF2B5EF4-FFF2-40B4-BE49-F238E27FC236}">
                  <a16:creationId xmlns:a16="http://schemas.microsoft.com/office/drawing/2014/main" id="{F718FF40-08BE-E840-89D5-264651775BA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S41"/>
  <sheetViews>
    <sheetView topLeftCell="A14" workbookViewId="0">
      <selection activeCell="D32" sqref="D32"/>
    </sheetView>
  </sheetViews>
  <sheetFormatPr baseColWidth="10" defaultColWidth="9.1640625" defaultRowHeight="15"/>
  <cols>
    <col min="1" max="1" width="15" style="1" customWidth="1"/>
    <col min="2" max="2" width="10.83203125" style="1" customWidth="1"/>
    <col min="3" max="3" width="22.33203125" style="1" customWidth="1"/>
    <col min="4" max="4" width="12" style="1" customWidth="1"/>
    <col min="5" max="5" width="19.83203125" style="1" customWidth="1"/>
    <col min="6" max="6" width="21.33203125" style="1" customWidth="1"/>
    <col min="7" max="7" width="15.5" style="1" customWidth="1"/>
    <col min="8" max="8" width="15.33203125" style="1" customWidth="1"/>
    <col min="9" max="9" width="9.5" style="1" bestFit="1" customWidth="1"/>
    <col min="10" max="10" width="9.1640625" style="1"/>
    <col min="11" max="11" width="16.5" style="1" customWidth="1"/>
    <col min="12" max="12" width="11.5" style="1" bestFit="1" customWidth="1"/>
    <col min="13" max="13" width="10.83203125" style="1" customWidth="1"/>
    <col min="14" max="14" width="12" style="1" customWidth="1"/>
    <col min="15" max="16" width="9.1640625" style="1"/>
    <col min="17" max="17" width="9.83203125" style="1" customWidth="1"/>
    <col min="18" max="18" width="11.5" style="1" bestFit="1" customWidth="1"/>
    <col min="19" max="16384" width="9.1640625" style="1"/>
  </cols>
  <sheetData>
    <row r="1" spans="1:19" ht="16" thickBot="1"/>
    <row r="2" spans="1:19" ht="138" customHeight="1">
      <c r="A2" s="24" t="s">
        <v>109</v>
      </c>
      <c r="B2" s="34" t="s">
        <v>0</v>
      </c>
      <c r="C2" s="34" t="s">
        <v>116</v>
      </c>
      <c r="D2" s="34"/>
      <c r="E2" s="34"/>
      <c r="F2" s="34" t="s">
        <v>1</v>
      </c>
      <c r="G2" s="34"/>
      <c r="H2" s="34"/>
      <c r="I2" s="34" t="s">
        <v>2</v>
      </c>
      <c r="J2" s="34"/>
      <c r="K2" s="34"/>
      <c r="L2" s="34" t="s">
        <v>3</v>
      </c>
      <c r="M2" s="34" t="s">
        <v>4</v>
      </c>
      <c r="N2" s="34" t="s">
        <v>5</v>
      </c>
      <c r="O2" s="34"/>
      <c r="P2" s="34"/>
      <c r="Q2" s="34"/>
      <c r="R2" s="34"/>
      <c r="S2" s="35"/>
    </row>
    <row r="3" spans="1:19" ht="128">
      <c r="A3" s="13" t="s">
        <v>6</v>
      </c>
      <c r="B3" s="29" t="s">
        <v>7</v>
      </c>
      <c r="C3" s="29"/>
      <c r="D3" s="29"/>
      <c r="E3" s="29" t="s">
        <v>104</v>
      </c>
      <c r="F3" s="29" t="s">
        <v>9</v>
      </c>
      <c r="G3" s="29" t="s">
        <v>10</v>
      </c>
      <c r="H3" s="29" t="s">
        <v>11</v>
      </c>
      <c r="I3" s="29" t="s">
        <v>12</v>
      </c>
      <c r="J3" s="29" t="s">
        <v>13</v>
      </c>
      <c r="K3" s="29" t="s">
        <v>14</v>
      </c>
      <c r="L3" s="29" t="s">
        <v>45</v>
      </c>
      <c r="M3" s="29" t="s">
        <v>46</v>
      </c>
      <c r="N3" s="29" t="s">
        <v>47</v>
      </c>
      <c r="O3" s="29"/>
      <c r="P3" s="29"/>
      <c r="Q3" s="29"/>
      <c r="R3" s="29" t="s">
        <v>49</v>
      </c>
      <c r="S3" s="37"/>
    </row>
    <row r="4" spans="1:19" ht="48">
      <c r="A4" s="13"/>
      <c r="B4" s="29" t="s">
        <v>15</v>
      </c>
      <c r="C4" s="29" t="s">
        <v>16</v>
      </c>
      <c r="D4" s="29" t="s">
        <v>17</v>
      </c>
      <c r="E4" s="29"/>
      <c r="F4" s="29" t="s">
        <v>108</v>
      </c>
      <c r="G4" s="29"/>
      <c r="H4" s="29"/>
      <c r="I4" s="29"/>
      <c r="J4" s="29"/>
      <c r="K4" s="29"/>
      <c r="L4" s="29"/>
      <c r="M4" s="29"/>
      <c r="N4" s="29"/>
      <c r="O4" s="29" t="s">
        <v>37</v>
      </c>
      <c r="P4" s="29"/>
      <c r="Q4" s="29" t="s">
        <v>44</v>
      </c>
      <c r="R4" s="29" t="s">
        <v>39</v>
      </c>
      <c r="S4" s="37" t="s">
        <v>38</v>
      </c>
    </row>
    <row r="5" spans="1:19" ht="16">
      <c r="A5" s="13" t="s">
        <v>40</v>
      </c>
      <c r="B5" s="10">
        <v>0</v>
      </c>
      <c r="C5" s="10">
        <v>0</v>
      </c>
      <c r="D5" s="10">
        <v>0</v>
      </c>
      <c r="E5" s="10">
        <v>93</v>
      </c>
      <c r="F5" s="10">
        <v>25</v>
      </c>
      <c r="G5" s="10">
        <v>0</v>
      </c>
      <c r="H5" s="10">
        <v>0</v>
      </c>
      <c r="I5" s="10">
        <v>0</v>
      </c>
      <c r="J5" s="10">
        <v>0</v>
      </c>
      <c r="K5" s="10">
        <v>0</v>
      </c>
      <c r="L5" s="10">
        <v>3</v>
      </c>
      <c r="M5" s="10">
        <v>3</v>
      </c>
      <c r="N5" s="10">
        <v>3</v>
      </c>
      <c r="O5" s="10">
        <v>4630.7</v>
      </c>
      <c r="P5" s="10" t="s">
        <v>26</v>
      </c>
      <c r="Q5" s="10">
        <f>O5*2.47105</f>
        <v>11442.691235</v>
      </c>
      <c r="R5" s="10">
        <v>282</v>
      </c>
      <c r="S5" s="27">
        <v>0.01</v>
      </c>
    </row>
    <row r="6" spans="1:19" ht="16">
      <c r="A6" s="13" t="s">
        <v>41</v>
      </c>
      <c r="B6" s="10">
        <v>0</v>
      </c>
      <c r="C6" s="10">
        <v>0</v>
      </c>
      <c r="D6" s="10">
        <v>0</v>
      </c>
      <c r="E6" s="10">
        <v>50</v>
      </c>
      <c r="F6" s="10">
        <v>50</v>
      </c>
      <c r="G6" s="10">
        <v>0</v>
      </c>
      <c r="H6" s="10">
        <v>0</v>
      </c>
      <c r="I6" s="10">
        <v>0</v>
      </c>
      <c r="J6" s="10">
        <v>0</v>
      </c>
      <c r="K6" s="10">
        <v>0</v>
      </c>
      <c r="L6" s="10">
        <v>26</v>
      </c>
      <c r="M6" s="10">
        <v>26</v>
      </c>
      <c r="N6" s="10">
        <v>26</v>
      </c>
      <c r="O6" s="26">
        <v>11869.7</v>
      </c>
      <c r="P6" s="10" t="s">
        <v>26</v>
      </c>
      <c r="Q6" s="10">
        <f>O6*2.47105</f>
        <v>29330.622185</v>
      </c>
      <c r="R6" s="10">
        <f>0.09*Q6</f>
        <v>2639.7559966499998</v>
      </c>
      <c r="S6" s="14"/>
    </row>
    <row r="7" spans="1:19" ht="49" thickBot="1">
      <c r="A7" s="15" t="s">
        <v>42</v>
      </c>
      <c r="B7" s="16">
        <v>0</v>
      </c>
      <c r="C7" s="16">
        <v>0</v>
      </c>
      <c r="D7" s="16">
        <v>0</v>
      </c>
      <c r="E7" s="16">
        <v>50</v>
      </c>
      <c r="F7" s="16">
        <v>25</v>
      </c>
      <c r="G7" s="16">
        <v>0</v>
      </c>
      <c r="H7" s="16">
        <v>0</v>
      </c>
      <c r="I7" s="16">
        <v>0</v>
      </c>
      <c r="J7" s="16">
        <v>0</v>
      </c>
      <c r="K7" s="16">
        <v>0</v>
      </c>
      <c r="L7" s="16">
        <v>30</v>
      </c>
      <c r="M7" s="16">
        <v>30</v>
      </c>
      <c r="N7" s="16">
        <v>30</v>
      </c>
      <c r="O7" s="16">
        <v>1393.18</v>
      </c>
      <c r="P7" s="16" t="s">
        <v>26</v>
      </c>
      <c r="Q7" s="16">
        <f>O7*2.47105</f>
        <v>3442.6174390000001</v>
      </c>
      <c r="R7" s="16">
        <v>1268.5</v>
      </c>
      <c r="S7" s="17" t="s">
        <v>43</v>
      </c>
    </row>
    <row r="8" spans="1:19" ht="16" thickBot="1">
      <c r="E8" s="23"/>
      <c r="L8" s="23"/>
      <c r="M8" s="23"/>
      <c r="N8" s="23"/>
    </row>
    <row r="9" spans="1:19" ht="81">
      <c r="A9" s="24" t="s">
        <v>105</v>
      </c>
      <c r="B9" s="34"/>
      <c r="C9" s="34" t="s">
        <v>116</v>
      </c>
      <c r="D9" s="34"/>
      <c r="E9" s="34" t="s">
        <v>115</v>
      </c>
      <c r="F9" s="34" t="s">
        <v>115</v>
      </c>
      <c r="G9" s="34" t="s">
        <v>115</v>
      </c>
      <c r="H9" s="34" t="s">
        <v>115</v>
      </c>
      <c r="I9" s="34"/>
      <c r="J9" s="34"/>
      <c r="K9" s="34" t="s">
        <v>115</v>
      </c>
      <c r="L9" s="34"/>
      <c r="M9" s="34"/>
      <c r="N9" s="35" t="s">
        <v>115</v>
      </c>
    </row>
    <row r="10" spans="1:19" ht="98.25" customHeight="1">
      <c r="A10" s="13" t="s">
        <v>32</v>
      </c>
      <c r="B10" s="29"/>
      <c r="C10" s="29"/>
      <c r="D10" s="29"/>
      <c r="E10" s="29" t="s">
        <v>36</v>
      </c>
      <c r="F10" s="29" t="s">
        <v>35</v>
      </c>
      <c r="G10" s="29" t="s">
        <v>33</v>
      </c>
      <c r="H10" s="29" t="s">
        <v>33</v>
      </c>
      <c r="I10" s="29"/>
      <c r="J10" s="29"/>
      <c r="K10" s="29" t="s">
        <v>33</v>
      </c>
      <c r="L10" s="29"/>
      <c r="M10" s="29"/>
      <c r="N10" s="37" t="s">
        <v>34</v>
      </c>
    </row>
    <row r="11" spans="1:19" ht="67.5" customHeight="1">
      <c r="A11" s="13"/>
      <c r="B11" s="29" t="s">
        <v>120</v>
      </c>
      <c r="C11" s="29" t="s">
        <v>50</v>
      </c>
      <c r="D11" s="29"/>
      <c r="E11" s="29" t="s">
        <v>28</v>
      </c>
      <c r="F11" s="29" t="s">
        <v>21</v>
      </c>
      <c r="G11" s="29" t="s">
        <v>29</v>
      </c>
      <c r="H11" s="29" t="s">
        <v>30</v>
      </c>
      <c r="I11" s="29"/>
      <c r="J11" s="29"/>
      <c r="K11" s="29" t="s">
        <v>31</v>
      </c>
      <c r="L11" s="29"/>
      <c r="M11" s="29"/>
      <c r="N11" s="37" t="s">
        <v>22</v>
      </c>
    </row>
    <row r="12" spans="1:19" ht="32">
      <c r="A12" s="13" t="s">
        <v>6</v>
      </c>
      <c r="B12" s="10"/>
      <c r="C12" s="10"/>
      <c r="D12" s="10"/>
      <c r="E12" s="10"/>
      <c r="F12" s="10"/>
      <c r="G12" s="10"/>
      <c r="H12" s="10" t="s">
        <v>23</v>
      </c>
      <c r="I12" s="10" t="s">
        <v>24</v>
      </c>
      <c r="J12" s="10" t="s">
        <v>25</v>
      </c>
      <c r="K12" s="10" t="s">
        <v>23</v>
      </c>
      <c r="L12" s="10" t="s">
        <v>24</v>
      </c>
      <c r="M12" s="10" t="s">
        <v>25</v>
      </c>
      <c r="N12" s="14" t="s">
        <v>27</v>
      </c>
    </row>
    <row r="13" spans="1:19" ht="16">
      <c r="A13" s="13" t="s">
        <v>18</v>
      </c>
      <c r="B13" s="65">
        <v>56</v>
      </c>
      <c r="C13" s="10"/>
      <c r="D13" s="10"/>
      <c r="E13" s="10">
        <f>0.04*O5</f>
        <v>185.22800000000001</v>
      </c>
      <c r="F13" s="10">
        <f>13*8.3</f>
        <v>107.9</v>
      </c>
      <c r="G13" s="10">
        <f>170.2597*0.037</f>
        <v>6.2996089</v>
      </c>
      <c r="H13" s="10">
        <f>170.2597*0.27</f>
        <v>45.970119000000004</v>
      </c>
      <c r="I13" s="10">
        <f>170.2597*0.19</f>
        <v>32.349343000000005</v>
      </c>
      <c r="J13" s="10"/>
      <c r="K13" s="10">
        <f>170.2597*0.23</f>
        <v>39.159731000000001</v>
      </c>
      <c r="L13" s="10">
        <f>170.2597*0.15</f>
        <v>25.538955000000001</v>
      </c>
      <c r="M13" s="10"/>
      <c r="N13" s="14">
        <f>O5*0.025</f>
        <v>115.7675</v>
      </c>
    </row>
    <row r="14" spans="1:19" ht="16">
      <c r="A14" s="13" t="s">
        <v>19</v>
      </c>
      <c r="B14" s="65">
        <v>143</v>
      </c>
      <c r="C14" s="10"/>
      <c r="D14" s="10"/>
      <c r="E14" s="10">
        <f>0.04*O6</f>
        <v>474.78800000000001</v>
      </c>
      <c r="F14" s="10">
        <f>13*16.05</f>
        <v>208.65</v>
      </c>
      <c r="G14" s="10">
        <f>520.2567*0.037</f>
        <v>19.249497900000001</v>
      </c>
      <c r="H14" s="10">
        <f>520.2567*0.27</f>
        <v>140.46930900000001</v>
      </c>
      <c r="I14" s="10">
        <f>520.2567*0.19</f>
        <v>98.848773000000008</v>
      </c>
      <c r="J14" s="10"/>
      <c r="K14" s="10">
        <f>520.2567*0.23</f>
        <v>119.65904100000002</v>
      </c>
      <c r="L14" s="10">
        <f>520.2567*0.15</f>
        <v>78.038505000000001</v>
      </c>
      <c r="M14" s="10"/>
      <c r="N14" s="14">
        <f>O6*0.025</f>
        <v>296.74250000000001</v>
      </c>
    </row>
    <row r="15" spans="1:19" ht="17" thickBot="1">
      <c r="A15" s="15" t="s">
        <v>20</v>
      </c>
      <c r="B15" s="66">
        <v>17</v>
      </c>
      <c r="C15" s="16"/>
      <c r="D15" s="16"/>
      <c r="E15" s="16">
        <f>0.04*O7</f>
        <v>55.727200000000003</v>
      </c>
      <c r="F15" s="16">
        <f>13*9.56</f>
        <v>124.28</v>
      </c>
      <c r="G15" s="16">
        <f>154.643*0.037</f>
        <v>5.7217909999999996</v>
      </c>
      <c r="H15" s="16">
        <f>154.643*0.27</f>
        <v>41.753610000000002</v>
      </c>
      <c r="I15" s="16">
        <f>154.643*0.19</f>
        <v>29.382170000000002</v>
      </c>
      <c r="J15" s="16"/>
      <c r="K15" s="16">
        <f>154.643*0.23</f>
        <v>35.567889999999998</v>
      </c>
      <c r="L15" s="16">
        <f>154.643*0.15</f>
        <v>23.196449999999999</v>
      </c>
      <c r="M15" s="16"/>
      <c r="N15" s="17">
        <f>U7*0.025</f>
        <v>0</v>
      </c>
    </row>
    <row r="16" spans="1:19" ht="16" thickBot="1"/>
    <row r="17" spans="1:14" ht="120">
      <c r="A17" s="24" t="s">
        <v>106</v>
      </c>
      <c r="B17" s="11"/>
      <c r="C17" s="11"/>
      <c r="D17" s="11"/>
      <c r="E17" s="11"/>
      <c r="F17" s="11"/>
      <c r="G17" s="11"/>
      <c r="H17" s="11"/>
      <c r="I17" s="11"/>
      <c r="J17" s="11"/>
      <c r="K17" s="11"/>
      <c r="L17" s="11"/>
      <c r="M17" s="11"/>
      <c r="N17" s="12"/>
    </row>
    <row r="18" spans="1:14" ht="16">
      <c r="A18" s="13"/>
      <c r="B18" s="29" t="s">
        <v>0</v>
      </c>
      <c r="C18" s="29"/>
      <c r="D18" s="29"/>
      <c r="E18" s="29"/>
      <c r="F18" s="29" t="s">
        <v>1</v>
      </c>
      <c r="G18" s="29"/>
      <c r="H18" s="29"/>
      <c r="I18" s="29" t="s">
        <v>2</v>
      </c>
      <c r="J18" s="29"/>
      <c r="K18" s="29"/>
      <c r="L18" s="29" t="s">
        <v>3</v>
      </c>
      <c r="M18" s="29" t="s">
        <v>4</v>
      </c>
      <c r="N18" s="37" t="s">
        <v>5</v>
      </c>
    </row>
    <row r="19" spans="1:14" ht="16">
      <c r="A19" s="13" t="s">
        <v>6</v>
      </c>
      <c r="B19" s="29" t="s">
        <v>7</v>
      </c>
      <c r="C19" s="29"/>
      <c r="D19" s="29"/>
      <c r="E19" s="29" t="s">
        <v>8</v>
      </c>
      <c r="F19" s="29" t="s">
        <v>9</v>
      </c>
      <c r="G19" s="29" t="s">
        <v>10</v>
      </c>
      <c r="H19" s="29" t="s">
        <v>11</v>
      </c>
      <c r="I19" s="29" t="s">
        <v>12</v>
      </c>
      <c r="J19" s="29" t="s">
        <v>13</v>
      </c>
      <c r="K19" s="29" t="s">
        <v>14</v>
      </c>
      <c r="L19" s="29"/>
      <c r="M19" s="29"/>
      <c r="N19" s="37"/>
    </row>
    <row r="20" spans="1:14" ht="16">
      <c r="A20" s="13"/>
      <c r="B20" s="29" t="s">
        <v>15</v>
      </c>
      <c r="C20" s="29" t="s">
        <v>16</v>
      </c>
      <c r="D20" s="29" t="s">
        <v>17</v>
      </c>
      <c r="E20" s="29"/>
      <c r="F20" s="29"/>
      <c r="G20" s="29"/>
      <c r="H20" s="29"/>
      <c r="I20" s="29"/>
      <c r="J20" s="29"/>
      <c r="K20" s="29"/>
      <c r="L20" s="29"/>
      <c r="M20" s="29"/>
      <c r="N20" s="37"/>
    </row>
    <row r="21" spans="1:14" ht="16">
      <c r="A21" s="13" t="s">
        <v>18</v>
      </c>
      <c r="B21" s="10">
        <v>0</v>
      </c>
      <c r="C21" s="10">
        <v>0</v>
      </c>
      <c r="D21" s="10">
        <v>0</v>
      </c>
      <c r="E21" s="10">
        <v>93</v>
      </c>
      <c r="F21" s="10">
        <v>25</v>
      </c>
      <c r="G21" s="10">
        <v>0</v>
      </c>
      <c r="H21" s="10">
        <v>0</v>
      </c>
      <c r="I21" s="10">
        <v>0</v>
      </c>
      <c r="J21" s="10">
        <v>0</v>
      </c>
      <c r="K21" s="10">
        <v>0</v>
      </c>
      <c r="L21" s="10">
        <v>3</v>
      </c>
      <c r="M21" s="10">
        <v>3</v>
      </c>
      <c r="N21" s="14">
        <v>3</v>
      </c>
    </row>
    <row r="22" spans="1:14" ht="16">
      <c r="A22" s="13" t="s">
        <v>19</v>
      </c>
      <c r="B22" s="10">
        <v>0</v>
      </c>
      <c r="C22" s="10">
        <v>0</v>
      </c>
      <c r="D22" s="10">
        <v>0</v>
      </c>
      <c r="E22" s="10">
        <v>50</v>
      </c>
      <c r="F22" s="10">
        <v>50</v>
      </c>
      <c r="G22" s="10">
        <v>0</v>
      </c>
      <c r="H22" s="10">
        <v>0</v>
      </c>
      <c r="I22" s="10">
        <v>0</v>
      </c>
      <c r="J22" s="10">
        <v>0</v>
      </c>
      <c r="K22" s="10">
        <v>0</v>
      </c>
      <c r="L22" s="10">
        <v>26</v>
      </c>
      <c r="M22" s="10">
        <v>26</v>
      </c>
      <c r="N22" s="14">
        <v>26</v>
      </c>
    </row>
    <row r="23" spans="1:14" ht="16">
      <c r="A23" s="13" t="s">
        <v>20</v>
      </c>
      <c r="B23" s="10">
        <v>0</v>
      </c>
      <c r="C23" s="10">
        <v>0</v>
      </c>
      <c r="D23" s="10">
        <v>0</v>
      </c>
      <c r="E23" s="10">
        <v>50</v>
      </c>
      <c r="F23" s="10">
        <v>25</v>
      </c>
      <c r="G23" s="10">
        <v>0</v>
      </c>
      <c r="H23" s="10">
        <v>0</v>
      </c>
      <c r="I23" s="10">
        <v>0</v>
      </c>
      <c r="J23" s="10">
        <v>0</v>
      </c>
      <c r="K23" s="10">
        <v>0</v>
      </c>
      <c r="L23" s="10">
        <v>30</v>
      </c>
      <c r="M23" s="10">
        <v>30</v>
      </c>
      <c r="N23" s="14">
        <v>30</v>
      </c>
    </row>
    <row r="24" spans="1:14">
      <c r="A24" s="13"/>
      <c r="B24" s="10"/>
      <c r="C24" s="10"/>
      <c r="D24" s="10"/>
      <c r="E24" s="10"/>
      <c r="F24" s="10"/>
      <c r="G24" s="10"/>
      <c r="H24" s="10"/>
      <c r="I24" s="10"/>
      <c r="J24" s="10"/>
      <c r="K24" s="10"/>
      <c r="L24" s="10"/>
      <c r="M24" s="10"/>
      <c r="N24" s="14"/>
    </row>
    <row r="25" spans="1:14">
      <c r="A25" s="13"/>
      <c r="B25" s="10"/>
      <c r="C25" s="10"/>
      <c r="D25" s="10"/>
      <c r="E25" s="10"/>
      <c r="F25" s="10"/>
      <c r="G25" s="10"/>
      <c r="H25" s="10"/>
      <c r="I25" s="10"/>
      <c r="J25" s="10"/>
      <c r="K25" s="10"/>
      <c r="L25" s="10"/>
      <c r="M25" s="10"/>
      <c r="N25" s="14"/>
    </row>
    <row r="26" spans="1:14">
      <c r="A26" s="13"/>
      <c r="B26" s="10"/>
      <c r="C26" s="10"/>
      <c r="D26" s="10"/>
      <c r="E26" s="10"/>
      <c r="F26" s="10"/>
      <c r="G26" s="10"/>
      <c r="H26" s="10"/>
      <c r="I26" s="10"/>
      <c r="J26" s="10"/>
      <c r="K26" s="10"/>
      <c r="L26" s="10"/>
      <c r="M26" s="10"/>
      <c r="N26" s="14"/>
    </row>
    <row r="27" spans="1:14">
      <c r="A27" s="13"/>
      <c r="B27" s="10"/>
      <c r="C27" s="10"/>
      <c r="D27" s="10"/>
      <c r="E27" s="10"/>
      <c r="F27" s="10"/>
      <c r="G27" s="10"/>
      <c r="H27" s="10"/>
      <c r="I27" s="10"/>
      <c r="J27" s="10"/>
      <c r="K27" s="10"/>
      <c r="L27" s="10"/>
      <c r="M27" s="10"/>
      <c r="N27" s="14"/>
    </row>
    <row r="28" spans="1:14">
      <c r="A28" s="13"/>
      <c r="B28" s="10"/>
      <c r="C28" s="10"/>
      <c r="D28" s="10"/>
      <c r="E28" s="10"/>
      <c r="F28" s="10"/>
      <c r="G28" s="10"/>
      <c r="H28" s="10"/>
      <c r="I28" s="10"/>
      <c r="J28" s="10"/>
      <c r="K28" s="10"/>
      <c r="L28" s="10"/>
      <c r="M28" s="10"/>
      <c r="N28" s="14"/>
    </row>
    <row r="29" spans="1:14" ht="16">
      <c r="A29" s="13"/>
      <c r="B29" s="29" t="s">
        <v>87</v>
      </c>
      <c r="C29" s="29" t="s">
        <v>134</v>
      </c>
      <c r="D29" s="29"/>
      <c r="E29" s="29" t="s">
        <v>88</v>
      </c>
      <c r="F29" s="29" t="s">
        <v>21</v>
      </c>
      <c r="G29" s="29" t="s">
        <v>89</v>
      </c>
      <c r="H29" s="29" t="s">
        <v>90</v>
      </c>
      <c r="I29" s="29"/>
      <c r="J29" s="29"/>
      <c r="K29" s="29" t="s">
        <v>91</v>
      </c>
      <c r="L29" s="29"/>
      <c r="M29" s="29"/>
      <c r="N29" s="37" t="s">
        <v>22</v>
      </c>
    </row>
    <row r="30" spans="1:14" ht="48">
      <c r="A30" s="13" t="s">
        <v>6</v>
      </c>
      <c r="B30" s="29"/>
      <c r="C30" s="29" t="s">
        <v>135</v>
      </c>
      <c r="D30" s="29"/>
      <c r="E30" s="29" t="s">
        <v>114</v>
      </c>
      <c r="F30" s="29"/>
      <c r="G30" s="29"/>
      <c r="H30" s="29" t="s">
        <v>23</v>
      </c>
      <c r="I30" s="29" t="s">
        <v>24</v>
      </c>
      <c r="J30" s="29" t="s">
        <v>25</v>
      </c>
      <c r="K30" s="29" t="s">
        <v>23</v>
      </c>
      <c r="L30" s="29" t="s">
        <v>24</v>
      </c>
      <c r="M30" s="29" t="s">
        <v>25</v>
      </c>
      <c r="N30" s="37"/>
    </row>
    <row r="31" spans="1:14" ht="16">
      <c r="A31" s="13" t="s">
        <v>18</v>
      </c>
      <c r="B31" s="65">
        <v>56</v>
      </c>
      <c r="C31" s="10">
        <v>50</v>
      </c>
      <c r="D31" s="10"/>
      <c r="E31" s="10">
        <v>185</v>
      </c>
      <c r="F31" s="10">
        <v>108</v>
      </c>
      <c r="G31" s="10">
        <v>6</v>
      </c>
      <c r="H31" s="10">
        <v>46</v>
      </c>
      <c r="I31" s="10">
        <v>32</v>
      </c>
      <c r="J31" s="10">
        <v>0</v>
      </c>
      <c r="K31" s="10">
        <v>39</v>
      </c>
      <c r="L31" s="10">
        <v>26</v>
      </c>
      <c r="M31" s="10">
        <v>0</v>
      </c>
      <c r="N31" s="14">
        <v>116</v>
      </c>
    </row>
    <row r="32" spans="1:14" ht="16">
      <c r="A32" s="13" t="s">
        <v>19</v>
      </c>
      <c r="B32" s="65">
        <v>143</v>
      </c>
      <c r="C32" s="10">
        <v>129</v>
      </c>
      <c r="D32" s="10"/>
      <c r="E32" s="10">
        <v>475</v>
      </c>
      <c r="F32" s="10">
        <v>209</v>
      </c>
      <c r="G32" s="10">
        <v>19</v>
      </c>
      <c r="H32" s="10">
        <v>141</v>
      </c>
      <c r="I32" s="10">
        <v>99</v>
      </c>
      <c r="J32" s="10">
        <v>0</v>
      </c>
      <c r="K32" s="10">
        <v>120</v>
      </c>
      <c r="L32" s="10">
        <v>78</v>
      </c>
      <c r="M32" s="10">
        <v>0</v>
      </c>
      <c r="N32" s="14">
        <v>297</v>
      </c>
    </row>
    <row r="33" spans="1:14" ht="17" thickBot="1">
      <c r="A33" s="15" t="s">
        <v>20</v>
      </c>
      <c r="B33" s="66">
        <v>17</v>
      </c>
      <c r="C33" s="16">
        <v>15</v>
      </c>
      <c r="D33" s="16"/>
      <c r="E33" s="16">
        <v>56</v>
      </c>
      <c r="F33" s="16">
        <v>124</v>
      </c>
      <c r="G33" s="16">
        <v>10</v>
      </c>
      <c r="H33" s="16">
        <v>42</v>
      </c>
      <c r="I33" s="16">
        <v>29</v>
      </c>
      <c r="J33" s="16">
        <v>0</v>
      </c>
      <c r="K33" s="16">
        <v>36</v>
      </c>
      <c r="L33" s="16">
        <v>23</v>
      </c>
      <c r="M33" s="16">
        <v>0</v>
      </c>
      <c r="N33" s="17">
        <v>28</v>
      </c>
    </row>
    <row r="35" spans="1:14" ht="16" thickBot="1"/>
    <row r="36" spans="1:14" ht="120">
      <c r="A36" s="24" t="s">
        <v>107</v>
      </c>
      <c r="B36" s="11"/>
      <c r="C36" s="11"/>
      <c r="D36" s="11"/>
      <c r="E36" s="12"/>
      <c r="G36" s="24" t="s">
        <v>113</v>
      </c>
      <c r="H36" s="34" t="s">
        <v>110</v>
      </c>
      <c r="I36" s="34" t="s">
        <v>111</v>
      </c>
      <c r="J36" s="35" t="s">
        <v>112</v>
      </c>
    </row>
    <row r="37" spans="1:14" ht="16">
      <c r="A37" s="28" t="s">
        <v>97</v>
      </c>
      <c r="B37" s="10"/>
      <c r="C37" s="10"/>
      <c r="D37" s="10"/>
      <c r="E37" s="14"/>
      <c r="G37" s="13" t="s">
        <v>94</v>
      </c>
      <c r="H37" s="10">
        <v>95</v>
      </c>
      <c r="I37" s="10">
        <f>H37/25</f>
        <v>3.8</v>
      </c>
      <c r="J37" s="14">
        <v>25</v>
      </c>
    </row>
    <row r="38" spans="1:14" ht="48">
      <c r="A38" s="38"/>
      <c r="B38" s="29" t="s">
        <v>44</v>
      </c>
      <c r="C38" s="29" t="s">
        <v>98</v>
      </c>
      <c r="D38" s="29">
        <v>1.2</v>
      </c>
      <c r="E38" s="37" t="s">
        <v>121</v>
      </c>
      <c r="G38" s="13" t="s">
        <v>95</v>
      </c>
      <c r="H38" s="10">
        <v>140</v>
      </c>
      <c r="I38" s="10">
        <f>H38/25</f>
        <v>5.6</v>
      </c>
      <c r="J38" s="14">
        <v>50</v>
      </c>
    </row>
    <row r="39" spans="1:14" ht="17" thickBot="1">
      <c r="A39" s="13" t="s">
        <v>18</v>
      </c>
      <c r="B39" s="10">
        <v>11442.691235</v>
      </c>
      <c r="C39" s="10">
        <v>46.3</v>
      </c>
      <c r="D39" s="10">
        <f>1.2*C39</f>
        <v>55.559999999999995</v>
      </c>
      <c r="E39" s="14">
        <v>56</v>
      </c>
      <c r="G39" s="15" t="s">
        <v>96</v>
      </c>
      <c r="H39" s="16">
        <v>625</v>
      </c>
      <c r="I39" s="16">
        <f>H39/25</f>
        <v>25</v>
      </c>
      <c r="J39" s="17">
        <v>25</v>
      </c>
    </row>
    <row r="40" spans="1:14" ht="16">
      <c r="A40" s="13" t="s">
        <v>19</v>
      </c>
      <c r="B40" s="10">
        <v>29330.622185</v>
      </c>
      <c r="C40" s="10">
        <v>119</v>
      </c>
      <c r="D40" s="10">
        <f t="shared" ref="D40:D41" si="0">1.2*C40</f>
        <v>142.79999999999998</v>
      </c>
      <c r="E40" s="14">
        <v>143</v>
      </c>
    </row>
    <row r="41" spans="1:14" ht="17" thickBot="1">
      <c r="A41" s="15" t="s">
        <v>20</v>
      </c>
      <c r="B41" s="16">
        <v>3442.6174390000001</v>
      </c>
      <c r="C41" s="16">
        <v>14</v>
      </c>
      <c r="D41" s="16">
        <f t="shared" si="0"/>
        <v>16.8</v>
      </c>
      <c r="E41" s="17">
        <v>17</v>
      </c>
    </row>
  </sheetData>
  <pageMargins left="0.7" right="0.7" top="0.75" bottom="0.75" header="0.3" footer="0.3"/>
  <pageSetup scale="38" orientation="landscape" horizontalDpi="360" verticalDpi="36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T24"/>
  <sheetViews>
    <sheetView workbookViewId="0">
      <selection activeCell="B4" sqref="B4"/>
    </sheetView>
  </sheetViews>
  <sheetFormatPr baseColWidth="10" defaultColWidth="8.83203125" defaultRowHeight="15"/>
  <cols>
    <col min="1" max="1" width="23.6640625" customWidth="1"/>
    <col min="2" max="2" width="13.5" customWidth="1"/>
    <col min="3" max="3" width="13" customWidth="1"/>
    <col min="4" max="4" width="14.5" customWidth="1"/>
    <col min="6" max="6" width="11.5" bestFit="1" customWidth="1"/>
    <col min="7" max="7" width="11.6640625" bestFit="1" customWidth="1"/>
    <col min="11" max="11" width="11.5" bestFit="1" customWidth="1"/>
    <col min="12" max="12" width="15.5" customWidth="1"/>
    <col min="14" max="15" width="11.5" bestFit="1" customWidth="1"/>
  </cols>
  <sheetData>
    <row r="1" spans="1:20" ht="45" customHeight="1" thickBot="1">
      <c r="A1" s="33" t="s">
        <v>118</v>
      </c>
    </row>
    <row r="2" spans="1:20" ht="57">
      <c r="A2" s="40" t="s">
        <v>6</v>
      </c>
      <c r="B2" s="41" t="s">
        <v>51</v>
      </c>
      <c r="C2" s="41" t="s">
        <v>52</v>
      </c>
      <c r="D2" s="41" t="s">
        <v>53</v>
      </c>
      <c r="E2" s="42" t="s">
        <v>54</v>
      </c>
      <c r="F2" s="41" t="s">
        <v>55</v>
      </c>
      <c r="G2" s="41" t="s">
        <v>56</v>
      </c>
      <c r="H2" s="42" t="s">
        <v>57</v>
      </c>
      <c r="I2" s="61" t="s">
        <v>58</v>
      </c>
      <c r="J2" s="62"/>
      <c r="K2" s="41" t="s">
        <v>59</v>
      </c>
      <c r="L2" s="41" t="s">
        <v>60</v>
      </c>
      <c r="M2" s="41" t="s">
        <v>61</v>
      </c>
      <c r="N2" s="41" t="s">
        <v>62</v>
      </c>
      <c r="O2" s="41" t="s">
        <v>63</v>
      </c>
      <c r="P2" s="41" t="s">
        <v>64</v>
      </c>
      <c r="Q2" s="43" t="s">
        <v>65</v>
      </c>
      <c r="R2" s="39" t="s">
        <v>99</v>
      </c>
      <c r="S2" s="18"/>
    </row>
    <row r="3" spans="1:20">
      <c r="A3" s="44" t="s">
        <v>40</v>
      </c>
      <c r="B3" s="3">
        <v>1413.8761350000004</v>
      </c>
      <c r="C3" s="3">
        <v>104.8151</v>
      </c>
      <c r="D3" s="3"/>
      <c r="E3" s="3"/>
      <c r="F3" s="54">
        <v>282</v>
      </c>
      <c r="G3" s="3">
        <f>6206+3436</f>
        <v>9642</v>
      </c>
      <c r="H3" s="3"/>
      <c r="I3" s="3"/>
      <c r="J3" s="3"/>
      <c r="K3" s="3">
        <v>0</v>
      </c>
      <c r="L3" s="3">
        <v>1</v>
      </c>
      <c r="M3" s="3"/>
      <c r="N3" s="3">
        <v>0</v>
      </c>
      <c r="O3" s="3">
        <v>1200</v>
      </c>
      <c r="P3" s="3"/>
      <c r="Q3" s="45">
        <v>0</v>
      </c>
      <c r="R3">
        <f>SUM(B3,C3,F3,G3)</f>
        <v>11442.691235</v>
      </c>
    </row>
    <row r="4" spans="1:20">
      <c r="A4" s="46" t="s">
        <v>41</v>
      </c>
      <c r="B4" s="9">
        <v>17820.762185</v>
      </c>
      <c r="C4" s="3">
        <v>249.16</v>
      </c>
      <c r="D4" s="4"/>
      <c r="E4" s="4"/>
      <c r="F4" s="4">
        <v>952.7</v>
      </c>
      <c r="G4" s="4">
        <v>10308</v>
      </c>
      <c r="H4" s="4"/>
      <c r="I4" s="4"/>
      <c r="J4" s="4"/>
      <c r="K4" s="4">
        <v>0</v>
      </c>
      <c r="L4" s="4">
        <v>1</v>
      </c>
      <c r="M4" s="4"/>
      <c r="N4" s="4">
        <v>0</v>
      </c>
      <c r="O4" s="4">
        <v>0</v>
      </c>
      <c r="P4" s="4"/>
      <c r="Q4" s="47">
        <v>0</v>
      </c>
      <c r="R4" s="19">
        <f>SUM(B4,C4,F4,G4)</f>
        <v>29330.622185</v>
      </c>
      <c r="T4" s="19"/>
    </row>
    <row r="5" spans="1:20" ht="16" thickBot="1">
      <c r="A5" s="48" t="s">
        <v>42</v>
      </c>
      <c r="B5" s="49">
        <v>480.4</v>
      </c>
      <c r="C5" s="49">
        <v>999.71743900000001</v>
      </c>
      <c r="D5" s="49"/>
      <c r="E5" s="49"/>
      <c r="F5" s="49">
        <v>1268.5</v>
      </c>
      <c r="G5" s="55">
        <v>694</v>
      </c>
      <c r="H5" s="49"/>
      <c r="I5" s="49"/>
      <c r="J5" s="49"/>
      <c r="K5" s="49">
        <v>0</v>
      </c>
      <c r="L5" s="49">
        <v>1</v>
      </c>
      <c r="M5" s="49"/>
      <c r="N5" s="49"/>
      <c r="O5" s="49"/>
      <c r="P5" s="49"/>
      <c r="Q5" s="50">
        <v>0</v>
      </c>
      <c r="R5" s="19">
        <f>SUM(B5,C5,F5,G5)</f>
        <v>3442.6174390000001</v>
      </c>
      <c r="T5" s="19"/>
    </row>
    <row r="7" spans="1:20" ht="103" customHeight="1" thickBot="1">
      <c r="A7" s="57" t="s">
        <v>130</v>
      </c>
      <c r="B7" s="56" t="s">
        <v>122</v>
      </c>
      <c r="C7" s="56" t="s">
        <v>131</v>
      </c>
      <c r="D7" s="56" t="s">
        <v>129</v>
      </c>
    </row>
    <row r="8" spans="1:20" ht="177">
      <c r="A8" s="24" t="s">
        <v>119</v>
      </c>
      <c r="B8" s="34"/>
      <c r="C8" s="34"/>
      <c r="D8" s="34"/>
      <c r="E8" s="34" t="s">
        <v>49</v>
      </c>
      <c r="F8" s="34" t="s">
        <v>49</v>
      </c>
      <c r="G8" s="34" t="s">
        <v>117</v>
      </c>
      <c r="H8" s="34"/>
      <c r="I8" s="34">
        <f>6206/9642</f>
        <v>0.64364239784277122</v>
      </c>
      <c r="J8" s="34"/>
      <c r="K8" s="34"/>
      <c r="L8" s="34"/>
      <c r="M8" s="34"/>
      <c r="N8" s="34" t="s">
        <v>82</v>
      </c>
      <c r="O8" s="35" t="s">
        <v>83</v>
      </c>
    </row>
    <row r="9" spans="1:20" ht="48">
      <c r="A9" s="13"/>
      <c r="B9" s="29" t="s">
        <v>37</v>
      </c>
      <c r="C9" s="29"/>
      <c r="D9" s="29" t="s">
        <v>44</v>
      </c>
      <c r="E9" s="29" t="s">
        <v>39</v>
      </c>
      <c r="F9" s="29" t="s">
        <v>48</v>
      </c>
      <c r="G9" s="29" t="s">
        <v>48</v>
      </c>
      <c r="H9" s="29" t="s">
        <v>48</v>
      </c>
      <c r="I9" s="29" t="s">
        <v>81</v>
      </c>
      <c r="J9" s="29" t="s">
        <v>123</v>
      </c>
      <c r="K9" s="29" t="s">
        <v>84</v>
      </c>
      <c r="L9" s="29"/>
      <c r="M9" s="29" t="s">
        <v>126</v>
      </c>
      <c r="N9" s="36">
        <v>6206</v>
      </c>
      <c r="O9" s="37">
        <v>1200</v>
      </c>
    </row>
    <row r="10" spans="1:20" ht="48">
      <c r="A10" s="38" t="s">
        <v>74</v>
      </c>
      <c r="B10" s="10">
        <v>4630.7</v>
      </c>
      <c r="C10" s="10" t="s">
        <v>26</v>
      </c>
      <c r="D10" s="52">
        <f>B10*2.47105</f>
        <v>11442.691235</v>
      </c>
      <c r="E10" s="52">
        <v>282</v>
      </c>
      <c r="F10" s="10">
        <f>D10*0.09</f>
        <v>1029.8422111499999</v>
      </c>
      <c r="G10" s="10">
        <f>D10*0.06</f>
        <v>686.56147409999994</v>
      </c>
      <c r="H10" s="10" t="s">
        <v>77</v>
      </c>
      <c r="I10" s="30">
        <v>0.91600000000000004</v>
      </c>
      <c r="J10" s="10">
        <f>D10*0.916</f>
        <v>10481.50517126</v>
      </c>
      <c r="K10" s="10" t="s">
        <v>85</v>
      </c>
      <c r="L10" s="10"/>
      <c r="M10" s="10" t="s">
        <v>124</v>
      </c>
      <c r="N10" s="6">
        <v>13744</v>
      </c>
      <c r="O10" s="14">
        <v>0</v>
      </c>
    </row>
    <row r="11" spans="1:20" ht="32">
      <c r="A11" s="38" t="s">
        <v>75</v>
      </c>
      <c r="B11" s="26">
        <v>11869.7</v>
      </c>
      <c r="C11" s="10" t="s">
        <v>26</v>
      </c>
      <c r="D11" s="52">
        <f>B11*2.47105</f>
        <v>29330.622185</v>
      </c>
      <c r="E11" s="10">
        <f>0.09*D11</f>
        <v>2639.7559966499998</v>
      </c>
      <c r="F11" s="10">
        <f>D11*0.09</f>
        <v>2639.7559966499998</v>
      </c>
      <c r="G11" s="52">
        <v>952.7</v>
      </c>
      <c r="H11" s="10" t="s">
        <v>79</v>
      </c>
      <c r="I11" s="25">
        <f>(J11/D11)</f>
        <v>0.8494876052354019</v>
      </c>
      <c r="J11" s="31">
        <v>24916</v>
      </c>
      <c r="K11" s="10" t="s">
        <v>86</v>
      </c>
      <c r="L11" s="10"/>
      <c r="M11" s="10" t="s">
        <v>92</v>
      </c>
      <c r="N11" s="10">
        <f>0.25*N10</f>
        <v>3436</v>
      </c>
      <c r="O11" s="14"/>
    </row>
    <row r="12" spans="1:20" ht="32">
      <c r="A12" s="38" t="s">
        <v>76</v>
      </c>
      <c r="B12" s="10">
        <v>1393.18</v>
      </c>
      <c r="C12" s="10" t="s">
        <v>26</v>
      </c>
      <c r="D12" s="52">
        <f>B12*2.47105</f>
        <v>3442.6174390000001</v>
      </c>
      <c r="E12" s="10">
        <v>1268.5</v>
      </c>
      <c r="F12" s="10">
        <f>D12*0.09</f>
        <v>309.83556950999997</v>
      </c>
      <c r="G12" s="52">
        <v>1268.5</v>
      </c>
      <c r="H12" s="10" t="s">
        <v>78</v>
      </c>
      <c r="I12" s="10">
        <f>J12/D12</f>
        <v>2.4985930479973963</v>
      </c>
      <c r="J12" s="10">
        <v>8601.7000000000007</v>
      </c>
      <c r="K12" s="52" t="s">
        <v>132</v>
      </c>
      <c r="L12" s="10"/>
      <c r="M12" s="10" t="s">
        <v>93</v>
      </c>
      <c r="N12" s="10">
        <f>0.75*N10</f>
        <v>10308</v>
      </c>
      <c r="O12" s="14"/>
    </row>
    <row r="13" spans="1:20" ht="97" thickBot="1">
      <c r="A13" s="51" t="s">
        <v>125</v>
      </c>
      <c r="B13" s="16"/>
      <c r="C13" s="16"/>
      <c r="D13" s="16">
        <f>SUM(D10,D11,D12)</f>
        <v>44215.930859</v>
      </c>
      <c r="E13" s="16"/>
      <c r="F13" s="16"/>
      <c r="G13" s="16"/>
      <c r="H13" s="16" t="s">
        <v>80</v>
      </c>
      <c r="I13" s="16"/>
      <c r="J13" s="16"/>
      <c r="K13" s="16"/>
      <c r="L13" s="53" t="s">
        <v>127</v>
      </c>
      <c r="M13" s="53" t="s">
        <v>128</v>
      </c>
      <c r="N13" s="16"/>
      <c r="O13" s="17"/>
    </row>
    <row r="14" spans="1:20">
      <c r="A14" s="1"/>
      <c r="B14" s="1"/>
      <c r="C14" s="1"/>
      <c r="D14" s="1"/>
      <c r="E14" s="1"/>
      <c r="F14" s="1"/>
      <c r="G14" s="1"/>
      <c r="H14" s="1"/>
      <c r="I14" s="1"/>
      <c r="J14" s="1"/>
      <c r="K14" s="1"/>
      <c r="L14" s="1"/>
      <c r="M14" s="1"/>
      <c r="N14" s="1"/>
      <c r="O14" s="1"/>
      <c r="P14" s="1"/>
      <c r="Q14" s="1"/>
      <c r="R14" s="1"/>
      <c r="S14" s="1"/>
      <c r="T14" s="1"/>
    </row>
    <row r="15" spans="1:20">
      <c r="A15" s="1"/>
      <c r="B15" s="1"/>
      <c r="C15" s="1"/>
      <c r="D15" s="1"/>
      <c r="E15" s="1"/>
      <c r="F15" s="1"/>
      <c r="G15" s="1"/>
      <c r="H15" s="1"/>
      <c r="I15" s="1"/>
      <c r="J15" s="1"/>
      <c r="K15" s="1"/>
      <c r="L15" s="1"/>
      <c r="M15" s="1"/>
      <c r="N15" s="1"/>
      <c r="O15" s="1"/>
      <c r="P15" s="1"/>
      <c r="Q15" s="1"/>
      <c r="R15" s="1"/>
      <c r="S15" s="1"/>
      <c r="T15" s="1"/>
    </row>
    <row r="16" spans="1:20">
      <c r="A16" s="1"/>
      <c r="B16" s="1"/>
      <c r="C16" s="1"/>
      <c r="D16" s="1"/>
      <c r="E16" s="1"/>
      <c r="F16" s="1"/>
      <c r="G16" s="1"/>
      <c r="H16" s="1"/>
      <c r="I16" s="1"/>
      <c r="J16" s="1"/>
      <c r="K16" s="1"/>
      <c r="L16" s="1"/>
      <c r="M16" s="1"/>
      <c r="N16" s="1"/>
      <c r="O16" s="1"/>
      <c r="P16" s="1"/>
      <c r="Q16" s="1"/>
      <c r="R16" s="1"/>
      <c r="S16" s="1"/>
      <c r="T16" s="1"/>
    </row>
    <row r="17" spans="1:20">
      <c r="A17" s="1"/>
      <c r="B17" s="1"/>
      <c r="C17" s="1"/>
      <c r="D17" s="1"/>
      <c r="E17" s="1"/>
      <c r="F17" s="1"/>
      <c r="G17" s="1"/>
      <c r="H17" s="1"/>
      <c r="I17" s="1"/>
      <c r="J17" s="1"/>
      <c r="K17" s="1"/>
      <c r="L17" s="1"/>
      <c r="M17" s="1"/>
      <c r="N17" s="1"/>
      <c r="O17" s="1"/>
      <c r="P17" s="1"/>
      <c r="Q17" s="1"/>
      <c r="R17" s="1"/>
      <c r="S17" s="1"/>
      <c r="T17" s="1"/>
    </row>
    <row r="18" spans="1:20">
      <c r="A18" s="1"/>
      <c r="B18" s="1"/>
      <c r="C18" s="1"/>
      <c r="D18" s="1"/>
      <c r="E18" s="1"/>
      <c r="F18" s="1"/>
      <c r="G18" s="1"/>
      <c r="H18" s="1"/>
      <c r="I18" s="1"/>
      <c r="J18" s="1"/>
      <c r="K18" s="1"/>
      <c r="L18" s="1"/>
      <c r="M18" s="1"/>
      <c r="N18" s="1"/>
      <c r="O18" s="1"/>
      <c r="P18" s="1"/>
      <c r="Q18" s="1"/>
      <c r="R18" s="1"/>
      <c r="S18" s="1"/>
      <c r="T18" s="1"/>
    </row>
    <row r="19" spans="1:20">
      <c r="A19" s="1"/>
      <c r="B19" s="1"/>
      <c r="C19" s="1"/>
      <c r="D19" s="1"/>
      <c r="E19" s="1"/>
      <c r="F19" s="1"/>
      <c r="G19" s="1"/>
      <c r="H19" s="1"/>
      <c r="I19" s="1"/>
      <c r="J19" s="1"/>
      <c r="K19" s="1"/>
      <c r="L19" s="1"/>
      <c r="M19" s="1"/>
      <c r="N19" s="1"/>
      <c r="O19" s="1"/>
      <c r="P19" s="1"/>
      <c r="Q19" s="1"/>
      <c r="R19" s="1"/>
      <c r="S19" s="1"/>
      <c r="T19" s="1"/>
    </row>
    <row r="20" spans="1:20">
      <c r="A20" s="1"/>
      <c r="B20" s="1"/>
      <c r="C20" s="1"/>
      <c r="D20" s="1"/>
      <c r="E20" s="1"/>
      <c r="F20" s="1"/>
      <c r="G20" s="1"/>
      <c r="H20" s="1"/>
      <c r="I20" s="1"/>
      <c r="J20" s="1"/>
      <c r="K20" s="1"/>
      <c r="L20" s="1"/>
      <c r="M20" s="1"/>
      <c r="N20" s="1"/>
      <c r="O20" s="1"/>
      <c r="P20" s="1"/>
      <c r="Q20" s="1"/>
      <c r="R20" s="1"/>
      <c r="S20" s="1"/>
      <c r="T20" s="1"/>
    </row>
    <row r="21" spans="1:20">
      <c r="A21" s="1"/>
      <c r="B21" s="1"/>
      <c r="C21" s="1"/>
      <c r="D21" s="1"/>
      <c r="E21" s="1"/>
      <c r="F21" s="1"/>
      <c r="G21" s="1"/>
      <c r="H21" s="1"/>
      <c r="I21" s="1"/>
      <c r="J21" s="1"/>
      <c r="K21" s="1"/>
      <c r="L21" s="1"/>
      <c r="M21" s="1"/>
      <c r="N21" s="1"/>
      <c r="O21" s="1"/>
      <c r="P21" s="1"/>
      <c r="Q21" s="1"/>
      <c r="R21" s="1"/>
      <c r="S21" s="1"/>
      <c r="T21" s="1"/>
    </row>
    <row r="22" spans="1:20">
      <c r="A22" s="1"/>
      <c r="B22" s="1"/>
      <c r="C22" s="1"/>
      <c r="D22" s="1"/>
      <c r="E22" s="1"/>
      <c r="F22" s="1"/>
      <c r="G22" s="1"/>
      <c r="H22" s="1"/>
      <c r="I22" s="1"/>
      <c r="J22" s="1"/>
      <c r="K22" s="1"/>
      <c r="L22" s="1"/>
      <c r="M22" s="1"/>
      <c r="N22" s="1"/>
      <c r="O22" s="1"/>
      <c r="P22" s="1"/>
      <c r="Q22" s="1"/>
      <c r="R22" s="1"/>
      <c r="S22" s="1"/>
      <c r="T22" s="1"/>
    </row>
    <row r="23" spans="1:20">
      <c r="A23" s="1"/>
      <c r="B23" s="1"/>
      <c r="C23" s="1"/>
      <c r="D23" s="1"/>
      <c r="E23" s="1"/>
      <c r="F23" s="1"/>
      <c r="G23" s="1"/>
      <c r="H23" s="1"/>
      <c r="I23" s="1"/>
      <c r="J23" s="1"/>
      <c r="K23" s="1"/>
      <c r="L23" s="1"/>
      <c r="M23" s="1"/>
      <c r="N23" s="1"/>
      <c r="O23" s="1"/>
      <c r="P23" s="1"/>
      <c r="Q23" s="1"/>
      <c r="R23" s="1"/>
      <c r="S23" s="1"/>
      <c r="T23" s="1"/>
    </row>
    <row r="24" spans="1:20">
      <c r="A24" s="1"/>
      <c r="B24" s="1"/>
      <c r="C24" s="1"/>
      <c r="D24" s="1"/>
      <c r="E24" s="1"/>
      <c r="F24" s="1"/>
      <c r="G24" s="1"/>
      <c r="H24" s="1"/>
      <c r="I24" s="1"/>
      <c r="J24" s="1"/>
      <c r="K24" s="1"/>
      <c r="L24" s="1"/>
      <c r="M24" s="1"/>
      <c r="N24" s="1"/>
      <c r="O24" s="1"/>
      <c r="P24" s="1"/>
      <c r="Q24" s="1"/>
      <c r="R24" s="1"/>
      <c r="S24" s="1"/>
      <c r="T24" s="1"/>
    </row>
  </sheetData>
  <mergeCells count="1">
    <mergeCell ref="I2:J2"/>
  </mergeCells>
  <pageMargins left="0.7" right="0.7" top="0.75" bottom="0.75" header="0.3" footer="0.3"/>
  <pageSetup scale="59" orientation="landscape" horizontalDpi="360" verticalDpi="36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P15"/>
  <sheetViews>
    <sheetView workbookViewId="0">
      <selection activeCell="P16" sqref="P16"/>
    </sheetView>
  </sheetViews>
  <sheetFormatPr baseColWidth="10" defaultColWidth="8.83203125" defaultRowHeight="15"/>
  <sheetData>
    <row r="1" spans="1:16">
      <c r="A1" s="2"/>
      <c r="B1" s="63" t="s">
        <v>66</v>
      </c>
      <c r="C1" s="63" t="s">
        <v>67</v>
      </c>
      <c r="D1" s="63" t="s">
        <v>68</v>
      </c>
      <c r="E1" s="63" t="s">
        <v>69</v>
      </c>
      <c r="F1" s="63" t="s">
        <v>70</v>
      </c>
      <c r="G1" s="63"/>
      <c r="H1" s="63"/>
      <c r="I1" s="63" t="s">
        <v>65</v>
      </c>
      <c r="J1" s="63"/>
      <c r="K1" s="63"/>
    </row>
    <row r="2" spans="1:16">
      <c r="A2" s="6" t="s">
        <v>6</v>
      </c>
      <c r="B2" s="64"/>
      <c r="C2" s="64"/>
      <c r="D2" s="64"/>
      <c r="E2" s="64"/>
      <c r="F2" s="7" t="s">
        <v>71</v>
      </c>
      <c r="G2" s="7" t="s">
        <v>72</v>
      </c>
      <c r="H2" s="7" t="s">
        <v>73</v>
      </c>
      <c r="I2" s="7" t="s">
        <v>71</v>
      </c>
      <c r="J2" s="7" t="s">
        <v>72</v>
      </c>
      <c r="K2" s="7" t="s">
        <v>73</v>
      </c>
    </row>
    <row r="3" spans="1:16">
      <c r="A3" s="8" t="s">
        <v>18</v>
      </c>
      <c r="B3" s="8">
        <v>3</v>
      </c>
      <c r="C3" s="8">
        <v>3</v>
      </c>
      <c r="D3" s="8">
        <v>95</v>
      </c>
      <c r="E3" s="8">
        <v>0</v>
      </c>
      <c r="F3" s="8">
        <v>21</v>
      </c>
      <c r="G3" s="8">
        <v>30</v>
      </c>
      <c r="H3" s="8">
        <v>32</v>
      </c>
      <c r="I3" s="8">
        <v>10</v>
      </c>
      <c r="J3" s="8">
        <v>2</v>
      </c>
      <c r="K3" s="8">
        <v>0</v>
      </c>
    </row>
    <row r="4" spans="1:16">
      <c r="A4" s="4" t="s">
        <v>19</v>
      </c>
      <c r="B4" s="4">
        <v>3</v>
      </c>
      <c r="C4" s="4">
        <v>3</v>
      </c>
      <c r="D4" s="4">
        <v>140</v>
      </c>
      <c r="E4" s="4">
        <v>0</v>
      </c>
      <c r="F4" s="4">
        <v>32</v>
      </c>
      <c r="G4" s="4">
        <v>44</v>
      </c>
      <c r="H4" s="4">
        <v>47</v>
      </c>
      <c r="I4" s="4">
        <v>14</v>
      </c>
      <c r="J4" s="4">
        <v>3</v>
      </c>
      <c r="K4" s="4">
        <v>0</v>
      </c>
    </row>
    <row r="5" spans="1:16">
      <c r="A5" s="5" t="s">
        <v>20</v>
      </c>
      <c r="B5" s="5">
        <v>3</v>
      </c>
      <c r="C5" s="5">
        <v>3</v>
      </c>
      <c r="D5" s="5">
        <v>100</v>
      </c>
      <c r="E5" s="5">
        <v>525</v>
      </c>
      <c r="F5" s="5">
        <v>19</v>
      </c>
      <c r="G5" s="5">
        <v>30</v>
      </c>
      <c r="H5" s="5">
        <v>34</v>
      </c>
      <c r="I5" s="5">
        <v>14</v>
      </c>
      <c r="J5" s="5">
        <v>3</v>
      </c>
      <c r="K5" s="5">
        <v>0</v>
      </c>
    </row>
    <row r="7" spans="1:16">
      <c r="A7" s="32" t="s">
        <v>100</v>
      </c>
      <c r="B7" s="32"/>
      <c r="C7" s="32"/>
      <c r="D7" s="32"/>
      <c r="E7" s="32"/>
      <c r="F7" s="32"/>
    </row>
    <row r="8" spans="1:16">
      <c r="A8" s="32"/>
      <c r="B8" s="32" t="s">
        <v>101</v>
      </c>
      <c r="C8" s="32"/>
      <c r="D8" s="32"/>
      <c r="E8" s="32"/>
      <c r="F8" s="58"/>
      <c r="G8" s="20"/>
      <c r="H8" s="20"/>
      <c r="I8" s="20"/>
      <c r="J8" s="20"/>
      <c r="K8" s="20"/>
      <c r="L8" s="20"/>
    </row>
    <row r="9" spans="1:16">
      <c r="A9" s="32"/>
      <c r="B9" s="32" t="s">
        <v>102</v>
      </c>
      <c r="C9" s="32"/>
      <c r="D9" s="32"/>
      <c r="E9" s="32"/>
      <c r="F9" s="58"/>
      <c r="G9" s="20"/>
      <c r="H9" s="20"/>
      <c r="I9" s="20"/>
      <c r="J9" s="20"/>
      <c r="K9" s="20"/>
      <c r="L9" s="20"/>
    </row>
    <row r="10" spans="1:16" ht="15" customHeight="1">
      <c r="A10" s="32"/>
      <c r="B10" s="32" t="s">
        <v>103</v>
      </c>
      <c r="C10" s="32"/>
      <c r="D10" s="32"/>
      <c r="E10" s="32"/>
      <c r="F10" s="59"/>
      <c r="G10" s="21"/>
      <c r="H10" s="21"/>
      <c r="I10" s="21"/>
      <c r="J10" s="63" t="s">
        <v>70</v>
      </c>
      <c r="K10" s="63"/>
      <c r="L10" s="63"/>
      <c r="M10" s="63" t="s">
        <v>65</v>
      </c>
      <c r="N10" s="63"/>
      <c r="O10" s="63"/>
    </row>
    <row r="11" spans="1:16">
      <c r="A11" s="32"/>
      <c r="B11" s="32" t="s">
        <v>133</v>
      </c>
      <c r="C11" s="32"/>
      <c r="D11" s="32"/>
      <c r="E11" s="32"/>
      <c r="F11" s="60"/>
      <c r="G11" s="22"/>
      <c r="H11" s="22"/>
      <c r="I11" s="22"/>
      <c r="J11" s="7" t="s">
        <v>71</v>
      </c>
      <c r="K11" s="7" t="s">
        <v>72</v>
      </c>
      <c r="L11" s="7" t="s">
        <v>73</v>
      </c>
      <c r="M11" s="7" t="s">
        <v>71</v>
      </c>
      <c r="N11" s="7" t="s">
        <v>72</v>
      </c>
      <c r="O11" s="7" t="s">
        <v>73</v>
      </c>
      <c r="P11" s="67" t="s">
        <v>125</v>
      </c>
    </row>
    <row r="12" spans="1:16">
      <c r="F12" s="20"/>
      <c r="G12" s="20"/>
      <c r="H12" s="20"/>
      <c r="I12" s="20"/>
      <c r="J12" s="8">
        <v>21</v>
      </c>
      <c r="K12" s="8">
        <v>30</v>
      </c>
      <c r="L12" s="8">
        <v>32</v>
      </c>
      <c r="M12" s="8">
        <v>10</v>
      </c>
      <c r="N12" s="8">
        <v>2</v>
      </c>
      <c r="O12" s="8">
        <v>0</v>
      </c>
      <c r="P12">
        <f>SUM(J12:N12)</f>
        <v>95</v>
      </c>
    </row>
    <row r="13" spans="1:16">
      <c r="F13" s="20"/>
      <c r="G13" s="20"/>
      <c r="H13" s="20"/>
      <c r="I13" s="20"/>
      <c r="J13" s="4">
        <v>32</v>
      </c>
      <c r="K13" s="4">
        <v>44</v>
      </c>
      <c r="L13" s="4">
        <v>47</v>
      </c>
      <c r="M13" s="4">
        <v>14</v>
      </c>
      <c r="N13" s="4">
        <v>3</v>
      </c>
      <c r="O13" s="4">
        <v>0</v>
      </c>
      <c r="P13">
        <f t="shared" ref="P13:P14" si="0">SUM(J13:N13)</f>
        <v>140</v>
      </c>
    </row>
    <row r="14" spans="1:16">
      <c r="F14" s="20"/>
      <c r="G14" s="20"/>
      <c r="H14" s="20"/>
      <c r="I14" s="20"/>
      <c r="J14" s="5">
        <v>19</v>
      </c>
      <c r="K14" s="5">
        <v>30</v>
      </c>
      <c r="L14" s="5">
        <v>34</v>
      </c>
      <c r="M14" s="5">
        <v>14</v>
      </c>
      <c r="N14" s="5">
        <v>3</v>
      </c>
      <c r="O14" s="5">
        <v>0</v>
      </c>
      <c r="P14">
        <f t="shared" si="0"/>
        <v>100</v>
      </c>
    </row>
    <row r="15" spans="1:16">
      <c r="F15" s="20"/>
      <c r="G15" s="20"/>
      <c r="H15" s="20"/>
      <c r="I15" s="20"/>
      <c r="J15" s="20"/>
      <c r="K15" s="20"/>
      <c r="L15" s="20"/>
    </row>
  </sheetData>
  <mergeCells count="8">
    <mergeCell ref="J10:L10"/>
    <mergeCell ref="M10:O10"/>
    <mergeCell ref="I1:K1"/>
    <mergeCell ref="B1:B2"/>
    <mergeCell ref="C1:C2"/>
    <mergeCell ref="D1:D2"/>
    <mergeCell ref="E1:E2"/>
    <mergeCell ref="F1:H1"/>
  </mergeCells>
  <pageMargins left="0.7" right="0.7" top="0.75" bottom="0.75" header="0.3" footer="0.3"/>
  <pageSetup orientation="portrait" horizontalDpi="360" verticalDpi="36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C184C-7E42-4E4F-B634-1C6F1547951E}">
  <dimension ref="A2:L66"/>
  <sheetViews>
    <sheetView topLeftCell="A23" workbookViewId="0">
      <selection activeCell="J36" sqref="J36"/>
    </sheetView>
  </sheetViews>
  <sheetFormatPr baseColWidth="10" defaultRowHeight="15"/>
  <sheetData>
    <row r="2" spans="3:12">
      <c r="C2" s="68" t="s">
        <v>136</v>
      </c>
      <c r="D2" s="68"/>
      <c r="E2" s="68"/>
      <c r="F2" s="68"/>
      <c r="G2" s="68"/>
      <c r="H2" s="68"/>
      <c r="I2" s="68"/>
      <c r="J2" s="68"/>
      <c r="K2" s="68"/>
    </row>
    <row r="3" spans="3:12">
      <c r="C3" s="68"/>
      <c r="D3" s="68"/>
      <c r="E3" s="68"/>
      <c r="F3" s="68"/>
      <c r="G3" s="68"/>
      <c r="H3" s="68"/>
      <c r="I3" s="68"/>
      <c r="J3" s="68"/>
      <c r="K3" s="68"/>
    </row>
    <row r="4" spans="3:12">
      <c r="C4" s="69" t="s">
        <v>137</v>
      </c>
      <c r="D4" s="69"/>
      <c r="E4" s="69"/>
      <c r="F4" s="69"/>
      <c r="G4" s="69"/>
      <c r="H4" s="69"/>
      <c r="I4" s="69"/>
      <c r="J4" s="69"/>
      <c r="K4" s="69"/>
    </row>
    <row r="7" spans="3:12">
      <c r="D7" s="69" t="s">
        <v>138</v>
      </c>
      <c r="E7" s="69"/>
      <c r="F7" s="69"/>
      <c r="G7" s="69" t="s">
        <v>139</v>
      </c>
      <c r="H7" s="69"/>
      <c r="I7" s="69"/>
      <c r="J7" s="69" t="s">
        <v>140</v>
      </c>
      <c r="K7" s="69"/>
      <c r="L7" s="69"/>
    </row>
    <row r="8" spans="3:12">
      <c r="D8" t="s">
        <v>141</v>
      </c>
      <c r="E8" t="s">
        <v>142</v>
      </c>
      <c r="F8" t="s">
        <v>143</v>
      </c>
      <c r="G8" t="s">
        <v>141</v>
      </c>
      <c r="H8" t="s">
        <v>144</v>
      </c>
      <c r="I8" t="s">
        <v>143</v>
      </c>
      <c r="J8" t="s">
        <v>145</v>
      </c>
      <c r="K8" t="s">
        <v>144</v>
      </c>
      <c r="L8" t="s">
        <v>143</v>
      </c>
    </row>
    <row r="9" spans="3:12">
      <c r="C9" t="s">
        <v>146</v>
      </c>
      <c r="D9">
        <v>0</v>
      </c>
      <c r="E9">
        <v>0</v>
      </c>
      <c r="F9">
        <v>0</v>
      </c>
      <c r="G9">
        <v>0.5435267857142857</v>
      </c>
      <c r="H9">
        <v>3261.1607142857142</v>
      </c>
      <c r="I9">
        <v>366383736131.49005</v>
      </c>
      <c r="J9">
        <v>20.822287500000002</v>
      </c>
      <c r="K9">
        <v>499734.9</v>
      </c>
      <c r="L9">
        <v>14119798711372.199</v>
      </c>
    </row>
    <row r="10" spans="3:12">
      <c r="C10" t="s">
        <v>147</v>
      </c>
      <c r="D10">
        <v>0</v>
      </c>
      <c r="E10">
        <v>0</v>
      </c>
      <c r="F10">
        <v>0</v>
      </c>
      <c r="G10">
        <v>0</v>
      </c>
      <c r="H10">
        <v>0</v>
      </c>
      <c r="I10">
        <v>0</v>
      </c>
      <c r="J10">
        <v>0</v>
      </c>
      <c r="K10">
        <v>0</v>
      </c>
      <c r="L10">
        <v>0</v>
      </c>
    </row>
    <row r="11" spans="3:12">
      <c r="C11" t="s">
        <v>148</v>
      </c>
      <c r="D11">
        <v>0</v>
      </c>
      <c r="E11">
        <v>0</v>
      </c>
      <c r="F11">
        <v>0</v>
      </c>
      <c r="G11">
        <v>0</v>
      </c>
      <c r="H11">
        <v>0</v>
      </c>
      <c r="I11">
        <v>0</v>
      </c>
      <c r="J11">
        <v>0</v>
      </c>
      <c r="K11">
        <v>0</v>
      </c>
      <c r="L11">
        <v>0</v>
      </c>
    </row>
    <row r="12" spans="3:12">
      <c r="C12" t="s">
        <v>149</v>
      </c>
      <c r="D12">
        <v>0</v>
      </c>
      <c r="E12">
        <v>0</v>
      </c>
      <c r="F12">
        <v>0</v>
      </c>
      <c r="G12">
        <v>0</v>
      </c>
      <c r="H12">
        <v>0</v>
      </c>
      <c r="I12">
        <v>0</v>
      </c>
      <c r="J12">
        <v>0</v>
      </c>
      <c r="K12">
        <v>0</v>
      </c>
      <c r="L12">
        <v>0</v>
      </c>
    </row>
    <row r="14" spans="3:12">
      <c r="C14" t="s">
        <v>150</v>
      </c>
      <c r="F14" t="s">
        <v>151</v>
      </c>
    </row>
    <row r="15" spans="3:12">
      <c r="C15" t="s">
        <v>152</v>
      </c>
      <c r="D15" t="s">
        <v>153</v>
      </c>
      <c r="E15" t="s">
        <v>154</v>
      </c>
      <c r="F15" t="s">
        <v>147</v>
      </c>
      <c r="G15" t="s">
        <v>148</v>
      </c>
      <c r="H15" t="s">
        <v>149</v>
      </c>
      <c r="I15" t="s">
        <v>155</v>
      </c>
    </row>
    <row r="16" spans="3:12">
      <c r="C16" t="s">
        <v>156</v>
      </c>
      <c r="D16">
        <v>0</v>
      </c>
      <c r="E16">
        <v>0</v>
      </c>
      <c r="F16">
        <v>0</v>
      </c>
      <c r="G16">
        <v>0</v>
      </c>
      <c r="H16">
        <v>0</v>
      </c>
      <c r="I16">
        <v>0</v>
      </c>
    </row>
    <row r="17" spans="1:12">
      <c r="C17" t="s">
        <v>157</v>
      </c>
      <c r="D17">
        <v>0</v>
      </c>
      <c r="F17">
        <v>0</v>
      </c>
      <c r="G17">
        <v>0</v>
      </c>
      <c r="H17">
        <v>0</v>
      </c>
      <c r="I17">
        <v>0</v>
      </c>
    </row>
    <row r="18" spans="1:12">
      <c r="C18" t="s">
        <v>158</v>
      </c>
      <c r="D18">
        <v>0</v>
      </c>
      <c r="F18">
        <v>0</v>
      </c>
      <c r="G18">
        <v>0</v>
      </c>
      <c r="H18">
        <v>0</v>
      </c>
      <c r="I18">
        <v>0</v>
      </c>
    </row>
    <row r="19" spans="1:12">
      <c r="C19" t="s">
        <v>8</v>
      </c>
      <c r="D19">
        <v>499734.9</v>
      </c>
      <c r="E19">
        <v>0</v>
      </c>
      <c r="F19">
        <v>5207881</v>
      </c>
      <c r="G19">
        <v>0</v>
      </c>
      <c r="H19">
        <v>0</v>
      </c>
      <c r="I19">
        <v>6968.884765625</v>
      </c>
    </row>
    <row r="20" spans="1:12">
      <c r="C20" t="s">
        <v>159</v>
      </c>
      <c r="D20">
        <v>0</v>
      </c>
      <c r="E20">
        <v>0</v>
      </c>
      <c r="F20">
        <v>224409.625</v>
      </c>
      <c r="G20">
        <v>0</v>
      </c>
      <c r="H20">
        <v>0</v>
      </c>
      <c r="I20">
        <v>0</v>
      </c>
    </row>
    <row r="23" spans="1:12" ht="48">
      <c r="A23" s="1"/>
      <c r="B23" s="1"/>
      <c r="C23" s="1"/>
      <c r="D23" s="1" t="s">
        <v>160</v>
      </c>
      <c r="E23" s="1" t="s">
        <v>161</v>
      </c>
      <c r="F23" s="1"/>
      <c r="G23" s="70" t="s">
        <v>162</v>
      </c>
      <c r="H23" s="70" t="s">
        <v>163</v>
      </c>
      <c r="I23" s="71" t="s">
        <v>164</v>
      </c>
      <c r="J23" s="1"/>
      <c r="K23" s="1"/>
      <c r="L23" s="1"/>
    </row>
    <row r="24" spans="1:12">
      <c r="B24" t="s">
        <v>155</v>
      </c>
      <c r="C24" s="72" t="s">
        <v>165</v>
      </c>
      <c r="D24">
        <v>0</v>
      </c>
      <c r="F24" t="s">
        <v>155</v>
      </c>
      <c r="G24" s="73">
        <f>SUM(D24:D31)</f>
        <v>151805404295356.25</v>
      </c>
      <c r="H24" s="74">
        <f t="shared" ref="H24:H30" si="0">G24/SUM($G$24:$G$30)</f>
        <v>3.1108360330306464E-2</v>
      </c>
      <c r="I24" s="73">
        <f>G24/365</f>
        <v>415905217247.55139</v>
      </c>
    </row>
    <row r="25" spans="1:12">
      <c r="C25" s="72" t="s">
        <v>157</v>
      </c>
      <c r="D25">
        <v>0</v>
      </c>
      <c r="F25" t="s">
        <v>166</v>
      </c>
      <c r="G25" s="73">
        <f>D32+D39</f>
        <v>29774005931255.328</v>
      </c>
      <c r="H25" s="74">
        <f t="shared" si="0"/>
        <v>6.1013671369966231E-3</v>
      </c>
      <c r="I25" s="73">
        <f t="shared" ref="I25:I31" si="1">G25/365</f>
        <v>81572618989.740631</v>
      </c>
    </row>
    <row r="26" spans="1:12">
      <c r="C26" s="72" t="s">
        <v>158</v>
      </c>
      <c r="D26">
        <v>0</v>
      </c>
      <c r="F26" t="s">
        <v>167</v>
      </c>
      <c r="G26" s="73">
        <f>SUM(D33:D35)+SUM(D40:D42)</f>
        <v>4076203929301452</v>
      </c>
      <c r="H26" s="74">
        <f t="shared" si="0"/>
        <v>0.83530636607513431</v>
      </c>
      <c r="I26" s="73">
        <f t="shared" si="1"/>
        <v>11167681998086.17</v>
      </c>
    </row>
    <row r="27" spans="1:12">
      <c r="C27" s="72" t="s">
        <v>8</v>
      </c>
      <c r="D27">
        <v>3832886625356.25</v>
      </c>
      <c r="F27" t="s">
        <v>168</v>
      </c>
      <c r="G27" s="73">
        <f>D36</f>
        <v>265489649416562.78</v>
      </c>
      <c r="H27" s="74">
        <f t="shared" si="0"/>
        <v>5.4404833058172057E-2</v>
      </c>
      <c r="I27" s="73">
        <f t="shared" si="1"/>
        <v>727368902511.13086</v>
      </c>
    </row>
    <row r="28" spans="1:12">
      <c r="C28" s="72" t="s">
        <v>3</v>
      </c>
      <c r="D28">
        <v>0</v>
      </c>
      <c r="F28" t="s">
        <v>169</v>
      </c>
      <c r="G28" s="73">
        <f>D37</f>
        <v>91136392252873.734</v>
      </c>
      <c r="H28" s="74">
        <f t="shared" si="0"/>
        <v>1.8675907768675351E-2</v>
      </c>
      <c r="I28" s="73">
        <f t="shared" si="1"/>
        <v>249688745898.28421</v>
      </c>
    </row>
    <row r="29" spans="1:12">
      <c r="C29" s="72" t="s">
        <v>159</v>
      </c>
      <c r="D29">
        <v>0</v>
      </c>
      <c r="F29" t="s">
        <v>170</v>
      </c>
      <c r="G29" s="73">
        <f>D38</f>
        <v>0</v>
      </c>
      <c r="H29" s="74">
        <f t="shared" si="0"/>
        <v>0</v>
      </c>
      <c r="I29" s="73">
        <f t="shared" si="1"/>
        <v>0</v>
      </c>
    </row>
    <row r="30" spans="1:12">
      <c r="C30" s="72" t="s">
        <v>171</v>
      </c>
      <c r="D30">
        <v>47163517670000</v>
      </c>
      <c r="F30" t="s">
        <v>172</v>
      </c>
      <c r="G30" s="73">
        <f>SUM(G45:G48)-SUM(G24:G29)</f>
        <v>265481512552500</v>
      </c>
      <c r="H30" s="74">
        <f t="shared" si="0"/>
        <v>5.4403165630715185E-2</v>
      </c>
      <c r="I30" s="73">
        <f t="shared" si="1"/>
        <v>727346609732.87671</v>
      </c>
    </row>
    <row r="31" spans="1:12">
      <c r="C31" s="72" t="s">
        <v>65</v>
      </c>
      <c r="D31">
        <v>100809000000000</v>
      </c>
      <c r="F31" s="75" t="s">
        <v>125</v>
      </c>
      <c r="G31" s="73">
        <f>SUM(G24:G30)</f>
        <v>4879890893750000</v>
      </c>
      <c r="H31" s="74">
        <f>SUM(H24:H30)</f>
        <v>1</v>
      </c>
      <c r="I31" s="73">
        <f t="shared" si="1"/>
        <v>13369564092465.754</v>
      </c>
    </row>
    <row r="32" spans="1:12">
      <c r="B32" t="s">
        <v>173</v>
      </c>
      <c r="C32" s="72" t="s">
        <v>166</v>
      </c>
      <c r="D32">
        <v>15287823483751.637</v>
      </c>
    </row>
    <row r="33" spans="3:9">
      <c r="C33" s="72" t="s">
        <v>147</v>
      </c>
      <c r="D33">
        <v>4076203929301452</v>
      </c>
      <c r="G33" s="73"/>
      <c r="H33" s="74"/>
    </row>
    <row r="34" spans="3:9">
      <c r="C34" s="72" t="s">
        <v>148</v>
      </c>
      <c r="D34">
        <v>0</v>
      </c>
    </row>
    <row r="35" spans="3:9">
      <c r="C35" s="72" t="s">
        <v>149</v>
      </c>
      <c r="D35">
        <v>0</v>
      </c>
    </row>
    <row r="36" spans="3:9">
      <c r="C36" s="72" t="s">
        <v>168</v>
      </c>
      <c r="D36">
        <v>265489649416562.78</v>
      </c>
    </row>
    <row r="37" spans="3:9">
      <c r="C37" s="72" t="s">
        <v>174</v>
      </c>
      <c r="D37">
        <v>91136392252873.734</v>
      </c>
    </row>
    <row r="38" spans="3:9">
      <c r="C38" s="72" t="s">
        <v>175</v>
      </c>
      <c r="D38">
        <v>0</v>
      </c>
    </row>
    <row r="39" spans="3:9">
      <c r="C39" s="72" t="s">
        <v>176</v>
      </c>
      <c r="D39">
        <f t="shared" ref="D39:D42" si="2">F9+I9+L9</f>
        <v>14486182447503.689</v>
      </c>
    </row>
    <row r="40" spans="3:9">
      <c r="C40" s="72" t="s">
        <v>177</v>
      </c>
      <c r="D40">
        <f t="shared" si="2"/>
        <v>0</v>
      </c>
    </row>
    <row r="41" spans="3:9">
      <c r="C41" s="72" t="s">
        <v>178</v>
      </c>
      <c r="D41">
        <f t="shared" si="2"/>
        <v>0</v>
      </c>
    </row>
    <row r="42" spans="3:9">
      <c r="C42" s="72" t="s">
        <v>179</v>
      </c>
      <c r="D42">
        <f t="shared" si="2"/>
        <v>0</v>
      </c>
    </row>
    <row r="43" spans="3:9">
      <c r="C43" s="72"/>
    </row>
    <row r="44" spans="3:9" ht="48">
      <c r="D44" s="70" t="s">
        <v>180</v>
      </c>
      <c r="E44" s="70" t="s">
        <v>161</v>
      </c>
      <c r="F44" s="70"/>
      <c r="G44" s="70" t="s">
        <v>181</v>
      </c>
      <c r="H44" s="70" t="s">
        <v>163</v>
      </c>
      <c r="I44" s="70" t="s">
        <v>182</v>
      </c>
    </row>
    <row r="45" spans="3:9">
      <c r="C45" t="s">
        <v>165</v>
      </c>
      <c r="D45">
        <v>0</v>
      </c>
      <c r="F45" t="s">
        <v>183</v>
      </c>
      <c r="G45" s="73">
        <f>SUM(D45:D53)</f>
        <v>4279234282500000</v>
      </c>
      <c r="H45" s="74">
        <f>G45/SUM($G$45:$G$48)</f>
        <v>0.87691187685788208</v>
      </c>
      <c r="I45" s="73">
        <f>G45/365</f>
        <v>11723929541095.891</v>
      </c>
    </row>
    <row r="46" spans="3:9">
      <c r="C46" t="s">
        <v>157</v>
      </c>
      <c r="D46">
        <v>0</v>
      </c>
      <c r="F46" t="s">
        <v>171</v>
      </c>
      <c r="G46" s="73">
        <f>SUM(D54:D60,D63:D63)</f>
        <v>242346361250000</v>
      </c>
      <c r="H46" s="74">
        <f>G46/SUM($G$45:$G$48)</f>
        <v>4.9662249940954431E-2</v>
      </c>
      <c r="I46" s="73">
        <f t="shared" ref="I46:I48" si="3">G46/365</f>
        <v>663962633561.6438</v>
      </c>
    </row>
    <row r="47" spans="3:9">
      <c r="C47" t="s">
        <v>158</v>
      </c>
      <c r="D47">
        <v>0</v>
      </c>
      <c r="F47" t="s">
        <v>184</v>
      </c>
      <c r="G47" s="73">
        <f>D61</f>
        <v>216958500000000</v>
      </c>
      <c r="H47" s="74">
        <f>G47/SUM($G$45:$G$48)</f>
        <v>4.4459703039236624E-2</v>
      </c>
      <c r="I47" s="73">
        <f t="shared" si="3"/>
        <v>594406849315.06848</v>
      </c>
    </row>
    <row r="48" spans="3:9">
      <c r="C48" t="s">
        <v>8</v>
      </c>
      <c r="D48">
        <v>3143021887500000</v>
      </c>
      <c r="F48" t="s">
        <v>185</v>
      </c>
      <c r="G48" s="73">
        <f>D62</f>
        <v>141351750000000</v>
      </c>
      <c r="H48" s="74">
        <f>G48/SUM($G$45:$G$48)</f>
        <v>2.8966170161926891E-2</v>
      </c>
      <c r="I48" s="73">
        <f t="shared" si="3"/>
        <v>387265068493.1507</v>
      </c>
    </row>
    <row r="49" spans="3:9">
      <c r="C49" t="s">
        <v>9</v>
      </c>
      <c r="D49">
        <v>5113500000000</v>
      </c>
      <c r="F49" s="75" t="s">
        <v>125</v>
      </c>
      <c r="G49" s="73">
        <f>SUM(G45:G48)</f>
        <v>4879890893750000</v>
      </c>
      <c r="H49" s="73">
        <v>100</v>
      </c>
      <c r="I49" s="73">
        <f t="shared" ref="I49" si="4">SUM(I45:I48)</f>
        <v>13369564092465.754</v>
      </c>
    </row>
    <row r="50" spans="3:9">
      <c r="C50" t="s">
        <v>10</v>
      </c>
      <c r="D50">
        <v>0</v>
      </c>
    </row>
    <row r="51" spans="3:9">
      <c r="C51" t="s">
        <v>2</v>
      </c>
      <c r="D51">
        <v>0</v>
      </c>
    </row>
    <row r="52" spans="3:9">
      <c r="C52" t="s">
        <v>3</v>
      </c>
      <c r="D52">
        <v>9050895000000</v>
      </c>
    </row>
    <row r="53" spans="3:9">
      <c r="C53" t="s">
        <v>159</v>
      </c>
      <c r="D53">
        <v>1122048000000000</v>
      </c>
    </row>
    <row r="54" spans="3:9">
      <c r="C54" t="s">
        <v>87</v>
      </c>
      <c r="D54">
        <v>27612900000000</v>
      </c>
    </row>
    <row r="55" spans="3:9">
      <c r="C55" t="s">
        <v>88</v>
      </c>
      <c r="D55">
        <v>13075950000000</v>
      </c>
    </row>
    <row r="56" spans="3:9">
      <c r="C56" t="s">
        <v>21</v>
      </c>
      <c r="D56">
        <v>4026881250000</v>
      </c>
    </row>
    <row r="57" spans="3:9">
      <c r="C57" t="s">
        <v>89</v>
      </c>
      <c r="D57">
        <v>2556750000</v>
      </c>
    </row>
    <row r="58" spans="3:9">
      <c r="C58" t="s">
        <v>90</v>
      </c>
      <c r="D58">
        <v>44981000000000</v>
      </c>
    </row>
    <row r="59" spans="3:9">
      <c r="C59" t="s">
        <v>22</v>
      </c>
      <c r="D59">
        <v>14979998250000</v>
      </c>
    </row>
    <row r="60" spans="3:9">
      <c r="C60" t="s">
        <v>91</v>
      </c>
      <c r="D60">
        <v>112866600000000</v>
      </c>
    </row>
    <row r="61" spans="3:9">
      <c r="C61" t="s">
        <v>184</v>
      </c>
      <c r="D61">
        <v>216958500000000</v>
      </c>
    </row>
    <row r="62" spans="3:9">
      <c r="C62" t="s">
        <v>185</v>
      </c>
      <c r="D62">
        <v>141351750000000</v>
      </c>
      <c r="E62" s="76"/>
      <c r="F62" s="76"/>
    </row>
    <row r="63" spans="3:9">
      <c r="C63" t="s">
        <v>134</v>
      </c>
      <c r="D63">
        <v>24800475000000</v>
      </c>
    </row>
    <row r="65" spans="4:6">
      <c r="E65" t="s">
        <v>186</v>
      </c>
      <c r="F65" t="s">
        <v>187</v>
      </c>
    </row>
    <row r="66" spans="4:6">
      <c r="D66" s="72" t="s">
        <v>188</v>
      </c>
      <c r="E66" s="76">
        <v>1575</v>
      </c>
      <c r="F66" s="76">
        <v>1005</v>
      </c>
    </row>
  </sheetData>
  <mergeCells count="5">
    <mergeCell ref="C2:K3"/>
    <mergeCell ref="C4:K4"/>
    <mergeCell ref="D7:F7"/>
    <mergeCell ref="G7:I7"/>
    <mergeCell ref="J7:L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791740-2BE5-B848-AF62-3E125350F803}">
  <dimension ref="A1:O64"/>
  <sheetViews>
    <sheetView tabSelected="1" topLeftCell="A17" workbookViewId="0">
      <selection activeCell="L30" sqref="L30"/>
    </sheetView>
  </sheetViews>
  <sheetFormatPr baseColWidth="10" defaultRowHeight="15"/>
  <sheetData>
    <row r="1" spans="1:15">
      <c r="A1" s="70">
        <v>6</v>
      </c>
      <c r="B1" s="70"/>
      <c r="C1" s="70"/>
      <c r="D1" s="77"/>
      <c r="E1" s="78"/>
      <c r="F1" s="77"/>
      <c r="G1" s="78"/>
      <c r="I1" s="79"/>
      <c r="J1" s="79"/>
      <c r="K1" s="79"/>
      <c r="L1" s="79"/>
      <c r="M1" s="79"/>
      <c r="N1" s="79"/>
      <c r="O1" s="79"/>
    </row>
    <row r="2" spans="1:15">
      <c r="A2" s="70"/>
      <c r="B2" s="80" t="s">
        <v>189</v>
      </c>
      <c r="C2" s="81"/>
      <c r="D2" s="81"/>
      <c r="E2" s="81"/>
      <c r="F2" s="81"/>
      <c r="G2" s="81"/>
      <c r="H2" s="81"/>
      <c r="I2" s="82"/>
      <c r="J2" s="82"/>
      <c r="K2" s="82"/>
      <c r="L2" s="82"/>
      <c r="M2" s="82"/>
      <c r="N2" s="82"/>
      <c r="O2" s="79"/>
    </row>
    <row r="3" spans="1:15" ht="16" thickBot="1">
      <c r="A3" s="83" t="s">
        <v>190</v>
      </c>
      <c r="B3" s="70"/>
      <c r="C3" s="70"/>
      <c r="D3" s="77"/>
      <c r="E3" s="78"/>
      <c r="F3" s="77"/>
      <c r="G3" s="78"/>
      <c r="H3" s="84"/>
      <c r="I3" s="82"/>
      <c r="J3" s="82"/>
      <c r="K3" s="82"/>
      <c r="L3" s="82"/>
      <c r="M3" s="82"/>
      <c r="N3" s="82"/>
      <c r="O3" s="79"/>
    </row>
    <row r="4" spans="1:15" ht="44" thickTop="1">
      <c r="A4" s="70"/>
      <c r="B4" s="70"/>
      <c r="C4" s="70"/>
      <c r="D4" s="85" t="s">
        <v>191</v>
      </c>
      <c r="E4" s="86" t="s">
        <v>192</v>
      </c>
      <c r="F4" s="77"/>
      <c r="G4" s="78"/>
      <c r="H4" s="84"/>
      <c r="I4" s="82"/>
      <c r="J4" s="82"/>
      <c r="K4" s="82"/>
      <c r="L4" s="82"/>
      <c r="M4" s="82"/>
      <c r="N4" s="82"/>
      <c r="O4" s="79"/>
    </row>
    <row r="5" spans="1:15" ht="29">
      <c r="A5" s="70"/>
      <c r="B5" s="70"/>
      <c r="C5" s="70"/>
      <c r="D5" s="87" t="s">
        <v>193</v>
      </c>
      <c r="E5" s="88"/>
      <c r="F5" s="77"/>
      <c r="G5" s="78"/>
      <c r="H5" s="84"/>
      <c r="I5" s="82"/>
      <c r="J5" s="82"/>
      <c r="K5" s="82"/>
      <c r="L5" s="82"/>
      <c r="M5" s="82"/>
      <c r="N5" s="82"/>
      <c r="O5" s="79"/>
    </row>
    <row r="6" spans="1:15" ht="43">
      <c r="A6" s="70"/>
      <c r="B6" s="70"/>
      <c r="C6" s="70"/>
      <c r="D6" s="87" t="s">
        <v>194</v>
      </c>
      <c r="E6" s="88"/>
      <c r="F6" s="77"/>
      <c r="G6" s="78"/>
      <c r="H6" s="84"/>
      <c r="I6" s="82"/>
      <c r="J6" s="82"/>
      <c r="K6" s="82"/>
      <c r="L6" s="82"/>
      <c r="M6" s="82"/>
      <c r="N6" s="82"/>
      <c r="O6" s="79"/>
    </row>
    <row r="7" spans="1:15" ht="29">
      <c r="A7" s="70"/>
      <c r="B7" s="70"/>
      <c r="C7" s="70"/>
      <c r="D7" s="87" t="s">
        <v>195</v>
      </c>
      <c r="E7" s="88"/>
      <c r="F7" s="77"/>
      <c r="G7" s="78"/>
      <c r="H7" s="70"/>
      <c r="I7" s="89"/>
      <c r="J7" s="90"/>
      <c r="K7" s="89"/>
      <c r="L7" s="90"/>
      <c r="M7" s="79"/>
      <c r="N7" s="79"/>
      <c r="O7" s="79"/>
    </row>
    <row r="8" spans="1:15" ht="30" thickBot="1">
      <c r="A8" s="70"/>
      <c r="B8" s="70"/>
      <c r="C8" s="70"/>
      <c r="D8" s="91" t="s">
        <v>65</v>
      </c>
      <c r="E8" s="92"/>
      <c r="F8" s="77"/>
      <c r="G8" s="78"/>
      <c r="H8" s="70"/>
      <c r="I8" s="93"/>
      <c r="J8" s="93"/>
      <c r="K8" s="93"/>
      <c r="L8" s="93"/>
      <c r="M8" s="79"/>
      <c r="N8" s="79"/>
      <c r="O8" s="79"/>
    </row>
    <row r="9" spans="1:15" ht="58" thickTop="1">
      <c r="A9" s="70" t="s">
        <v>196</v>
      </c>
      <c r="B9" s="70"/>
      <c r="C9" s="70"/>
      <c r="D9" s="77"/>
      <c r="E9" s="78"/>
      <c r="F9" s="77"/>
      <c r="G9" s="78"/>
      <c r="H9" s="70"/>
      <c r="I9" s="89" t="s">
        <v>197</v>
      </c>
      <c r="J9" s="90"/>
      <c r="K9" s="89"/>
      <c r="L9" s="90"/>
      <c r="M9" s="79"/>
      <c r="N9" s="79"/>
      <c r="O9" s="79"/>
    </row>
    <row r="10" spans="1:15" ht="16" thickBot="1">
      <c r="A10" s="70"/>
      <c r="B10" s="70"/>
      <c r="C10" s="70"/>
      <c r="D10" s="77"/>
      <c r="E10" s="78"/>
      <c r="F10" s="77"/>
      <c r="G10" s="78"/>
      <c r="H10" s="70"/>
      <c r="I10" s="94"/>
      <c r="J10" s="95"/>
      <c r="K10" s="89"/>
      <c r="L10" s="90"/>
      <c r="M10" s="79"/>
      <c r="N10" s="79"/>
      <c r="O10" s="79"/>
    </row>
    <row r="11" spans="1:15" ht="137" thickBot="1">
      <c r="A11" s="70"/>
      <c r="B11" s="70"/>
      <c r="C11" s="96" t="s">
        <v>198</v>
      </c>
      <c r="D11" s="97" t="s">
        <v>199</v>
      </c>
      <c r="E11" s="98" t="s">
        <v>200</v>
      </c>
      <c r="F11" s="97" t="s">
        <v>201</v>
      </c>
      <c r="G11" s="98" t="s">
        <v>202</v>
      </c>
      <c r="H11" s="70"/>
      <c r="I11" s="99" t="s">
        <v>191</v>
      </c>
      <c r="J11" s="100" t="s">
        <v>203</v>
      </c>
      <c r="K11" s="101" t="s">
        <v>204</v>
      </c>
      <c r="L11" s="100" t="s">
        <v>205</v>
      </c>
      <c r="M11" s="101" t="s">
        <v>204</v>
      </c>
      <c r="N11" s="100" t="s">
        <v>206</v>
      </c>
      <c r="O11" s="101" t="s">
        <v>204</v>
      </c>
    </row>
    <row r="12" spans="1:15" ht="18" thickBot="1">
      <c r="A12" s="70"/>
      <c r="B12" s="70">
        <f>D12*10^8</f>
        <v>7899203927306.1465</v>
      </c>
      <c r="C12" s="102" t="s">
        <v>146</v>
      </c>
      <c r="D12" s="103">
        <v>78992.039273061469</v>
      </c>
      <c r="E12" s="104">
        <f>IF(D18&gt;0, D12/D18,0)</f>
        <v>5.1469340681349028E-3</v>
      </c>
      <c r="F12" s="103">
        <v>78992.039273061469</v>
      </c>
      <c r="G12" s="104">
        <v>0</v>
      </c>
      <c r="H12" s="70"/>
      <c r="I12" s="105" t="s">
        <v>207</v>
      </c>
      <c r="J12" s="106">
        <v>7899203927306.1465</v>
      </c>
      <c r="K12" s="107">
        <v>5.1469340681349028E-3</v>
      </c>
      <c r="L12" s="108">
        <v>7602064047973.8594</v>
      </c>
      <c r="M12" s="107">
        <v>5.2683976434054177E-3</v>
      </c>
      <c r="N12" s="109">
        <v>14272737955975.32</v>
      </c>
      <c r="O12" s="107">
        <v>9.6118625037365981E-3</v>
      </c>
    </row>
    <row r="13" spans="1:15" ht="18" thickBot="1">
      <c r="A13" s="70"/>
      <c r="B13" s="70">
        <f t="shared" ref="B13:B18" si="0">D13*10^8</f>
        <v>1469997256289158.2</v>
      </c>
      <c r="C13" s="102" t="s">
        <v>167</v>
      </c>
      <c r="D13" s="103">
        <v>14699972.562891582</v>
      </c>
      <c r="E13" s="104">
        <f>IF(D18&gt;0, D13/D18,0)</f>
        <v>0.95781537330682842</v>
      </c>
      <c r="F13" s="103">
        <v>14699972.562891582</v>
      </c>
      <c r="G13" s="104">
        <v>0</v>
      </c>
      <c r="H13" s="77"/>
      <c r="I13" s="105" t="s">
        <v>167</v>
      </c>
      <c r="J13" s="106">
        <v>1469997256289158.2</v>
      </c>
      <c r="K13" s="107">
        <v>0.95781537330682842</v>
      </c>
      <c r="L13" s="108">
        <v>1283008429370233</v>
      </c>
      <c r="M13" s="107">
        <v>0.88915306989092946</v>
      </c>
      <c r="N13" s="109">
        <v>1323198243642064</v>
      </c>
      <c r="O13" s="107">
        <v>0.89109739296717672</v>
      </c>
    </row>
    <row r="14" spans="1:15" ht="18" thickBot="1">
      <c r="A14" s="70"/>
      <c r="B14" s="70">
        <f t="shared" si="0"/>
        <v>48769849369095.031</v>
      </c>
      <c r="C14" s="102" t="s">
        <v>168</v>
      </c>
      <c r="D14" s="103">
        <v>487698.49369095033</v>
      </c>
      <c r="E14" s="104">
        <f>IF(D18&gt;0, D14/D18,0)</f>
        <v>3.177727800492499E-2</v>
      </c>
      <c r="F14" s="103">
        <v>487698.49369095033</v>
      </c>
      <c r="G14" s="104">
        <v>0</v>
      </c>
      <c r="H14" s="70"/>
      <c r="I14" s="105" t="s">
        <v>168</v>
      </c>
      <c r="J14" s="106">
        <v>48769849369095.031</v>
      </c>
      <c r="K14" s="107">
        <v>3.177727800492499E-2</v>
      </c>
      <c r="L14" s="108">
        <v>74187972057789.953</v>
      </c>
      <c r="M14" s="107">
        <v>5.1413896895864668E-2</v>
      </c>
      <c r="N14" s="109">
        <v>142531827989677.81</v>
      </c>
      <c r="O14" s="107">
        <v>9.5986932378974002E-2</v>
      </c>
    </row>
    <row r="15" spans="1:15" ht="18" thickBot="1">
      <c r="A15" s="70"/>
      <c r="B15" s="70">
        <f t="shared" si="0"/>
        <v>0</v>
      </c>
      <c r="C15" s="102" t="s">
        <v>208</v>
      </c>
      <c r="D15" s="103">
        <v>0</v>
      </c>
      <c r="E15" s="104">
        <f>IF(D18&gt;0, D15/D18,0)</f>
        <v>0</v>
      </c>
      <c r="F15" s="103">
        <v>0</v>
      </c>
      <c r="G15" s="104">
        <v>0</v>
      </c>
      <c r="H15" s="77"/>
      <c r="I15" s="105" t="s">
        <v>174</v>
      </c>
      <c r="J15" s="106">
        <v>8073367032949.3584</v>
      </c>
      <c r="K15" s="107">
        <v>5.2604146201116041E-3</v>
      </c>
      <c r="L15" s="108">
        <v>78157165917838.578</v>
      </c>
      <c r="M15" s="107">
        <v>5.416463556980057E-2</v>
      </c>
      <c r="N15" s="109">
        <v>4905859302085.7686</v>
      </c>
      <c r="O15" s="107">
        <v>0</v>
      </c>
    </row>
    <row r="16" spans="1:15" ht="18" thickBot="1">
      <c r="A16" s="70"/>
      <c r="B16" s="70">
        <f t="shared" si="0"/>
        <v>0</v>
      </c>
      <c r="C16" s="102" t="s">
        <v>209</v>
      </c>
      <c r="D16" s="103">
        <v>0</v>
      </c>
      <c r="E16" s="104">
        <f>IF(D18&gt;0, D16/D18,0)</f>
        <v>0</v>
      </c>
      <c r="F16" s="103">
        <v>0</v>
      </c>
      <c r="G16" s="104">
        <v>0</v>
      </c>
      <c r="H16" s="110"/>
      <c r="I16" s="105" t="s">
        <v>125</v>
      </c>
      <c r="J16" s="111">
        <v>1534739676618508.8</v>
      </c>
      <c r="K16" s="107">
        <v>1</v>
      </c>
      <c r="L16" s="109">
        <v>1442955631393835.2</v>
      </c>
      <c r="M16" s="107">
        <v>1</v>
      </c>
      <c r="N16" s="109">
        <v>1484908668889803</v>
      </c>
      <c r="O16" s="107">
        <v>1</v>
      </c>
    </row>
    <row r="17" spans="1:15" ht="16">
      <c r="A17" s="70"/>
      <c r="B17" s="70">
        <f t="shared" si="0"/>
        <v>8073367032949.3584</v>
      </c>
      <c r="C17" s="102" t="s">
        <v>174</v>
      </c>
      <c r="D17" s="103">
        <v>80733.670329493587</v>
      </c>
      <c r="E17" s="104">
        <f>IF(D18&gt;0, D17/D18,0)</f>
        <v>5.2604146201116041E-3</v>
      </c>
      <c r="F17" s="103">
        <v>80733.670329493587</v>
      </c>
      <c r="G17" s="104">
        <v>0</v>
      </c>
      <c r="H17" s="110"/>
      <c r="I17" s="112"/>
      <c r="J17" s="79"/>
      <c r="K17" s="79"/>
      <c r="L17" s="79"/>
      <c r="M17" s="79"/>
      <c r="N17" s="79"/>
      <c r="O17" s="79"/>
    </row>
    <row r="18" spans="1:15" ht="17" thickBot="1">
      <c r="A18" s="70"/>
      <c r="B18" s="70">
        <f t="shared" si="0"/>
        <v>1534739676618508.8</v>
      </c>
      <c r="C18" s="102" t="s">
        <v>125</v>
      </c>
      <c r="D18" s="103">
        <f>SUM(D12:D17)</f>
        <v>15347396.766185088</v>
      </c>
      <c r="E18" s="104">
        <v>1</v>
      </c>
      <c r="F18" s="103">
        <f>SUM(F12:F17)</f>
        <v>15347396.766185088</v>
      </c>
      <c r="G18" s="104">
        <f>1-F18/D18</f>
        <v>0</v>
      </c>
      <c r="H18" s="110"/>
      <c r="I18" s="113"/>
      <c r="J18" s="79"/>
      <c r="K18" s="79"/>
      <c r="L18" s="79"/>
      <c r="M18" s="79"/>
      <c r="N18" s="79"/>
      <c r="O18" s="79"/>
    </row>
    <row r="19" spans="1:15" ht="68">
      <c r="A19" s="70"/>
      <c r="B19" s="70"/>
      <c r="C19" s="70"/>
      <c r="D19" s="77"/>
      <c r="E19" s="78"/>
      <c r="F19" s="77"/>
      <c r="G19" s="78"/>
      <c r="H19" s="110"/>
      <c r="I19" s="114" t="s">
        <v>191</v>
      </c>
      <c r="J19" s="115" t="s">
        <v>210</v>
      </c>
      <c r="K19" s="116" t="s">
        <v>204</v>
      </c>
      <c r="L19" s="115" t="s">
        <v>211</v>
      </c>
      <c r="M19" s="116" t="s">
        <v>204</v>
      </c>
      <c r="N19" s="115" t="s">
        <v>212</v>
      </c>
      <c r="O19" s="117" t="s">
        <v>213</v>
      </c>
    </row>
    <row r="20" spans="1:15" ht="101">
      <c r="A20" s="70"/>
      <c r="B20" s="70"/>
      <c r="C20" s="96" t="s">
        <v>191</v>
      </c>
      <c r="D20" s="97" t="s">
        <v>214</v>
      </c>
      <c r="E20" s="98" t="s">
        <v>215</v>
      </c>
      <c r="F20" s="97" t="s">
        <v>216</v>
      </c>
      <c r="G20" s="98" t="s">
        <v>202</v>
      </c>
      <c r="H20" s="110"/>
      <c r="I20" s="118" t="s">
        <v>217</v>
      </c>
      <c r="J20" s="119">
        <v>3832886625356.25</v>
      </c>
      <c r="K20" s="120">
        <v>0.1</v>
      </c>
      <c r="L20" s="121">
        <v>0</v>
      </c>
      <c r="M20" s="122">
        <v>0</v>
      </c>
      <c r="N20" s="119">
        <v>0</v>
      </c>
      <c r="O20" s="123">
        <v>0</v>
      </c>
    </row>
    <row r="21" spans="1:15" ht="34">
      <c r="A21" s="70"/>
      <c r="B21" s="70">
        <f>D21*10^8</f>
        <v>3832886625356.2495</v>
      </c>
      <c r="C21" s="102" t="s">
        <v>218</v>
      </c>
      <c r="D21" s="103">
        <v>38328.866253562497</v>
      </c>
      <c r="E21" s="104">
        <f>IF(D25&gt;0, D21/D25,0)</f>
        <v>9.5732122523542712E-2</v>
      </c>
      <c r="F21" s="103">
        <f t="shared" ref="F21:F24" si="1">IF(D21&gt;0,(1-G21)*D21,0)</f>
        <v>38328.866253562497</v>
      </c>
      <c r="G21" s="104">
        <f>E5</f>
        <v>0</v>
      </c>
      <c r="H21" s="77"/>
      <c r="I21" s="118" t="s">
        <v>219</v>
      </c>
      <c r="J21" s="119">
        <v>9906736320000</v>
      </c>
      <c r="K21" s="122">
        <v>0.25</v>
      </c>
      <c r="L21" s="124">
        <v>29215600000000</v>
      </c>
      <c r="M21" s="122">
        <v>0.44</v>
      </c>
      <c r="N21" s="119">
        <v>8041159985000.001</v>
      </c>
      <c r="O21" s="123">
        <v>0.18</v>
      </c>
    </row>
    <row r="22" spans="1:15" ht="48">
      <c r="A22" s="70"/>
      <c r="B22" s="70">
        <f t="shared" ref="B22:B25" si="2">D22*10^8</f>
        <v>0</v>
      </c>
      <c r="C22" s="102" t="s">
        <v>220</v>
      </c>
      <c r="D22" s="103">
        <v>0</v>
      </c>
      <c r="E22" s="104">
        <f>IF(D25&gt;0, D22/D25,0)</f>
        <v>0</v>
      </c>
      <c r="F22" s="103">
        <f t="shared" si="1"/>
        <v>0</v>
      </c>
      <c r="G22" s="104">
        <f>E6</f>
        <v>0</v>
      </c>
      <c r="H22" s="77"/>
      <c r="I22" s="118" t="s">
        <v>221</v>
      </c>
      <c r="J22" s="119">
        <v>26298000000000</v>
      </c>
      <c r="K22" s="122">
        <v>0.66</v>
      </c>
      <c r="L22" s="124">
        <v>37255500000000</v>
      </c>
      <c r="M22" s="122">
        <v>0.06</v>
      </c>
      <c r="N22" s="119">
        <v>37255500000000</v>
      </c>
      <c r="O22" s="123">
        <v>0.82</v>
      </c>
    </row>
    <row r="23" spans="1:15" ht="33" thickBot="1">
      <c r="A23" s="70"/>
      <c r="B23" s="70">
        <f t="shared" si="2"/>
        <v>9906736320000</v>
      </c>
      <c r="C23" s="102" t="s">
        <v>222</v>
      </c>
      <c r="D23" s="103">
        <v>99067.363200000007</v>
      </c>
      <c r="E23" s="104">
        <f>IF(D25&gt;0, D23/D25,0)</f>
        <v>0.24743567652657136</v>
      </c>
      <c r="F23" s="103">
        <f t="shared" si="1"/>
        <v>99067.363200000007</v>
      </c>
      <c r="G23" s="104">
        <f>E7</f>
        <v>0</v>
      </c>
      <c r="H23" s="110"/>
      <c r="I23" s="125" t="s">
        <v>125</v>
      </c>
      <c r="J23" s="126">
        <v>40037622945356.25</v>
      </c>
      <c r="K23" s="127">
        <v>1</v>
      </c>
      <c r="L23" s="128">
        <v>66471100000000</v>
      </c>
      <c r="M23" s="127">
        <v>1</v>
      </c>
      <c r="N23" s="126">
        <v>45296659985000</v>
      </c>
      <c r="O23" s="129">
        <v>1</v>
      </c>
    </row>
    <row r="24" spans="1:15" ht="32">
      <c r="A24" s="70"/>
      <c r="B24" s="70">
        <f t="shared" si="2"/>
        <v>26298000000000</v>
      </c>
      <c r="C24" s="102" t="s">
        <v>65</v>
      </c>
      <c r="D24" s="103">
        <v>262980</v>
      </c>
      <c r="E24" s="104">
        <f>IF(D25&gt;0, D24/D25,0)</f>
        <v>0.65683220094988592</v>
      </c>
      <c r="F24" s="103">
        <f t="shared" si="1"/>
        <v>262980</v>
      </c>
      <c r="G24" s="104">
        <f>E8</f>
        <v>0</v>
      </c>
      <c r="H24" s="77"/>
      <c r="I24" s="112"/>
      <c r="J24" s="79"/>
      <c r="K24" s="79"/>
      <c r="L24" s="79"/>
      <c r="M24" s="79"/>
      <c r="N24" s="79"/>
      <c r="O24" s="79"/>
    </row>
    <row r="25" spans="1:15" ht="16">
      <c r="A25" s="70"/>
      <c r="B25" s="70">
        <f t="shared" si="2"/>
        <v>40037622945356.25</v>
      </c>
      <c r="C25" s="102" t="s">
        <v>125</v>
      </c>
      <c r="D25" s="103">
        <f>SUM(D21:D24)</f>
        <v>400376.22945356253</v>
      </c>
      <c r="E25" s="104">
        <v>1</v>
      </c>
      <c r="F25" s="103">
        <f>SUM(F21:F24)</f>
        <v>400376.22945356253</v>
      </c>
      <c r="G25" s="104">
        <f>IF(D25&gt;0,1-F25/D25,0)</f>
        <v>0</v>
      </c>
      <c r="H25" s="77"/>
      <c r="I25" s="112"/>
      <c r="J25" s="79"/>
      <c r="K25" s="79"/>
      <c r="L25" s="79"/>
      <c r="M25" s="79"/>
      <c r="N25" s="79"/>
      <c r="O25" s="79"/>
    </row>
    <row r="26" spans="1:15">
      <c r="A26" s="70"/>
      <c r="B26" s="70"/>
      <c r="C26" s="70"/>
      <c r="D26" s="77"/>
      <c r="E26" s="78"/>
      <c r="F26" s="77"/>
      <c r="G26" s="78"/>
      <c r="H26" s="77"/>
      <c r="I26" s="112"/>
      <c r="J26" s="79"/>
      <c r="K26" s="79"/>
      <c r="L26" s="79"/>
      <c r="M26" s="79"/>
      <c r="N26" s="79"/>
      <c r="O26" s="79"/>
    </row>
    <row r="27" spans="1:15">
      <c r="A27" s="70"/>
      <c r="B27" s="70"/>
      <c r="C27" s="70"/>
      <c r="D27" s="77"/>
      <c r="E27" s="78"/>
      <c r="F27" s="77"/>
      <c r="G27" s="78"/>
      <c r="H27" s="77"/>
      <c r="I27" s="130"/>
      <c r="J27" s="89"/>
      <c r="K27" s="90"/>
      <c r="L27" s="90"/>
      <c r="M27" s="79"/>
      <c r="N27" s="79"/>
      <c r="O27" s="79"/>
    </row>
    <row r="28" spans="1:15" ht="48">
      <c r="A28" s="70" t="s">
        <v>223</v>
      </c>
      <c r="B28" s="70"/>
      <c r="C28" s="70"/>
      <c r="D28" s="77"/>
      <c r="E28" s="78"/>
      <c r="F28" s="77"/>
      <c r="G28" s="78"/>
      <c r="H28" s="77"/>
      <c r="I28" s="130"/>
      <c r="J28" s="89"/>
      <c r="K28" s="90"/>
      <c r="L28" s="90"/>
      <c r="M28" s="79"/>
      <c r="N28" s="79"/>
      <c r="O28" s="79"/>
    </row>
    <row r="29" spans="1:15">
      <c r="A29" s="70"/>
      <c r="B29" s="70"/>
      <c r="C29" s="70"/>
      <c r="D29" s="77"/>
      <c r="E29" s="78"/>
      <c r="F29" s="77"/>
      <c r="G29" s="78"/>
      <c r="H29" s="77"/>
      <c r="I29" s="90"/>
      <c r="J29" s="89"/>
      <c r="K29" s="90"/>
      <c r="L29" s="90"/>
      <c r="M29" s="79"/>
      <c r="N29" s="79"/>
      <c r="O29" s="79"/>
    </row>
    <row r="30" spans="1:15" ht="101">
      <c r="A30" s="70"/>
      <c r="B30" s="70"/>
      <c r="C30" s="96" t="s">
        <v>198</v>
      </c>
      <c r="D30" s="97" t="s">
        <v>199</v>
      </c>
      <c r="E30" s="98" t="s">
        <v>200</v>
      </c>
      <c r="F30" s="97" t="s">
        <v>201</v>
      </c>
      <c r="G30" s="98" t="s">
        <v>202</v>
      </c>
      <c r="H30" s="77"/>
      <c r="I30" s="90"/>
      <c r="J30" s="89"/>
      <c r="K30" s="90"/>
      <c r="L30" s="90"/>
      <c r="M30" s="79"/>
      <c r="N30" s="79"/>
      <c r="O30" s="79"/>
    </row>
    <row r="31" spans="1:15" ht="16">
      <c r="A31" s="70"/>
      <c r="B31" s="70">
        <f>D31*10^8</f>
        <v>7602064047973.8594</v>
      </c>
      <c r="C31" s="102" t="s">
        <v>146</v>
      </c>
      <c r="D31" s="103">
        <v>76020.640479738591</v>
      </c>
      <c r="E31" s="104">
        <f>IF(D37&gt;0, D31/D37,0)</f>
        <v>5.2683976434054177E-3</v>
      </c>
      <c r="F31" s="103">
        <v>76020.640479738591</v>
      </c>
      <c r="G31" s="104">
        <v>0</v>
      </c>
      <c r="H31" s="110"/>
      <c r="I31" s="95"/>
      <c r="J31" s="94"/>
      <c r="K31" s="95"/>
      <c r="L31" s="90"/>
      <c r="M31" s="79"/>
      <c r="N31" s="79"/>
      <c r="O31" s="79"/>
    </row>
    <row r="32" spans="1:15" ht="16">
      <c r="A32" s="70"/>
      <c r="B32" s="70">
        <f t="shared" ref="B32:B37" si="3">D32*10^8</f>
        <v>1283008429370233</v>
      </c>
      <c r="C32" s="102" t="s">
        <v>167</v>
      </c>
      <c r="D32" s="103">
        <v>12830084.29370233</v>
      </c>
      <c r="E32" s="104">
        <f>IF(D37&gt;0, D32/D37,0)</f>
        <v>0.88915306989092946</v>
      </c>
      <c r="F32" s="103">
        <v>12830084.29370233</v>
      </c>
      <c r="G32" s="104">
        <v>0</v>
      </c>
      <c r="H32" s="77"/>
      <c r="I32" s="90"/>
      <c r="J32" s="89"/>
      <c r="K32" s="90"/>
      <c r="L32" s="90"/>
      <c r="M32" s="79"/>
      <c r="N32" s="79"/>
      <c r="O32" s="79"/>
    </row>
    <row r="33" spans="1:15" ht="16">
      <c r="A33" s="70"/>
      <c r="B33" s="70">
        <f t="shared" si="3"/>
        <v>74187972057789.953</v>
      </c>
      <c r="C33" s="102" t="s">
        <v>168</v>
      </c>
      <c r="D33" s="103">
        <v>741879.72057789948</v>
      </c>
      <c r="E33" s="104">
        <f>IF(D37&gt;0, D33/D37,0)</f>
        <v>5.1413896895864668E-2</v>
      </c>
      <c r="F33" s="103">
        <v>741879.72057789948</v>
      </c>
      <c r="G33" s="104">
        <v>0</v>
      </c>
      <c r="H33" s="77"/>
      <c r="I33" s="90"/>
      <c r="J33" s="89"/>
      <c r="K33" s="90"/>
      <c r="L33" s="90"/>
      <c r="M33" s="79"/>
      <c r="N33" s="79"/>
      <c r="O33" s="79"/>
    </row>
    <row r="34" spans="1:15" ht="16">
      <c r="A34" s="70"/>
      <c r="B34" s="70">
        <f t="shared" si="3"/>
        <v>0</v>
      </c>
      <c r="C34" s="102" t="s">
        <v>208</v>
      </c>
      <c r="D34" s="103">
        <v>0</v>
      </c>
      <c r="E34" s="104">
        <f>IF(D37&gt;0, D34/D37,0)</f>
        <v>0</v>
      </c>
      <c r="F34" s="103">
        <v>0</v>
      </c>
      <c r="G34" s="104">
        <v>0</v>
      </c>
      <c r="H34" s="77"/>
      <c r="I34" s="90"/>
      <c r="J34" s="89"/>
      <c r="K34" s="90"/>
      <c r="L34" s="95"/>
      <c r="M34" s="79"/>
      <c r="N34" s="79"/>
      <c r="O34" s="79"/>
    </row>
    <row r="35" spans="1:15" ht="16">
      <c r="A35" s="70"/>
      <c r="B35" s="70">
        <f t="shared" si="3"/>
        <v>0</v>
      </c>
      <c r="C35" s="102" t="s">
        <v>209</v>
      </c>
      <c r="D35" s="103">
        <v>0</v>
      </c>
      <c r="E35" s="104">
        <f>IF(D37&gt;0, D35/D37,0)</f>
        <v>0</v>
      </c>
      <c r="F35" s="103">
        <v>0</v>
      </c>
      <c r="G35" s="104">
        <v>0</v>
      </c>
      <c r="H35" s="77"/>
      <c r="I35" s="90"/>
      <c r="J35" s="89"/>
      <c r="K35" s="90"/>
      <c r="L35" s="90"/>
      <c r="M35" s="79"/>
      <c r="N35" s="79"/>
      <c r="O35" s="79"/>
    </row>
    <row r="36" spans="1:15" ht="16">
      <c r="A36" s="70"/>
      <c r="B36" s="70">
        <f t="shared" si="3"/>
        <v>78157165917838.578</v>
      </c>
      <c r="C36" s="102" t="s">
        <v>174</v>
      </c>
      <c r="D36" s="103">
        <v>781571.65917838574</v>
      </c>
      <c r="E36" s="104">
        <f>IF(D37&gt;0, D36/D37,0)</f>
        <v>5.416463556980057E-2</v>
      </c>
      <c r="F36" s="103">
        <v>781571.65917838574</v>
      </c>
      <c r="G36" s="104">
        <v>0</v>
      </c>
      <c r="H36" s="77"/>
      <c r="I36" s="90"/>
      <c r="J36" s="89"/>
      <c r="K36" s="90"/>
      <c r="L36" s="90"/>
      <c r="M36" s="79"/>
      <c r="N36" s="79"/>
      <c r="O36" s="79"/>
    </row>
    <row r="37" spans="1:15" ht="16">
      <c r="A37" s="70"/>
      <c r="B37" s="70">
        <f t="shared" si="3"/>
        <v>1442955631393835.2</v>
      </c>
      <c r="C37" s="102" t="s">
        <v>125</v>
      </c>
      <c r="D37" s="103">
        <f>SUM(D31:D36)</f>
        <v>14429556.313938353</v>
      </c>
      <c r="E37" s="104">
        <v>1</v>
      </c>
      <c r="F37" s="103">
        <f>SUM(F31:F36)</f>
        <v>14429556.313938353</v>
      </c>
      <c r="G37" s="104">
        <f>1-F37/D37</f>
        <v>0</v>
      </c>
      <c r="H37" s="77"/>
      <c r="I37" s="90"/>
      <c r="J37" s="89"/>
      <c r="K37" s="90"/>
      <c r="L37" s="90"/>
      <c r="M37" s="79"/>
      <c r="N37" s="79"/>
      <c r="O37" s="79"/>
    </row>
    <row r="38" spans="1:15">
      <c r="A38" s="70"/>
      <c r="B38" s="70"/>
      <c r="C38" s="70"/>
      <c r="D38" s="77"/>
      <c r="E38" s="78"/>
      <c r="F38" s="77"/>
      <c r="G38" s="78"/>
      <c r="H38" s="77"/>
      <c r="I38" s="90"/>
      <c r="J38" s="89"/>
      <c r="K38" s="90"/>
      <c r="L38" s="90"/>
      <c r="M38" s="79"/>
      <c r="N38" s="79"/>
      <c r="O38" s="79"/>
    </row>
    <row r="39" spans="1:15" ht="101">
      <c r="A39" s="70"/>
      <c r="B39" s="70"/>
      <c r="C39" s="96" t="s">
        <v>191</v>
      </c>
      <c r="D39" s="97" t="s">
        <v>214</v>
      </c>
      <c r="E39" s="98" t="s">
        <v>215</v>
      </c>
      <c r="F39" s="97" t="s">
        <v>216</v>
      </c>
      <c r="G39" s="98" t="s">
        <v>202</v>
      </c>
      <c r="H39" s="77"/>
      <c r="I39" s="90"/>
      <c r="J39" s="89"/>
      <c r="K39" s="90"/>
      <c r="L39" s="90"/>
      <c r="M39" s="79"/>
      <c r="N39" s="79"/>
      <c r="O39" s="79"/>
    </row>
    <row r="40" spans="1:15" ht="32">
      <c r="A40" s="70"/>
      <c r="B40" s="70">
        <f>D40*10^8</f>
        <v>0</v>
      </c>
      <c r="C40" s="102" t="s">
        <v>218</v>
      </c>
      <c r="D40" s="103">
        <v>0</v>
      </c>
      <c r="E40" s="104">
        <f>IF(D44&gt;0, D40/D44,0)</f>
        <v>0</v>
      </c>
      <c r="F40" s="103">
        <f t="shared" ref="F40:F43" si="4">IF(D40&gt;0,(1-G40)*D40,0)</f>
        <v>0</v>
      </c>
      <c r="G40" s="104">
        <f>E5</f>
        <v>0</v>
      </c>
      <c r="H40" s="110"/>
      <c r="I40" s="95"/>
      <c r="J40" s="94"/>
      <c r="K40" s="95"/>
      <c r="L40" s="90"/>
      <c r="M40" s="79"/>
      <c r="N40" s="79"/>
      <c r="O40" s="79"/>
    </row>
    <row r="41" spans="1:15" ht="48">
      <c r="A41" s="70"/>
      <c r="B41" s="70">
        <f t="shared" ref="B41:B43" si="5">D41*10^8</f>
        <v>0</v>
      </c>
      <c r="C41" s="102" t="s">
        <v>220</v>
      </c>
      <c r="D41" s="103">
        <v>0</v>
      </c>
      <c r="E41" s="104">
        <f>IF(D44&gt;0, D41/D44,0)</f>
        <v>0</v>
      </c>
      <c r="F41" s="103">
        <f t="shared" si="4"/>
        <v>0</v>
      </c>
      <c r="G41" s="104">
        <f>E6</f>
        <v>0</v>
      </c>
      <c r="H41" s="77"/>
      <c r="I41" s="90"/>
      <c r="J41" s="89"/>
      <c r="K41" s="90"/>
      <c r="L41" s="90"/>
      <c r="M41" s="79"/>
      <c r="N41" s="79"/>
      <c r="O41" s="79"/>
    </row>
    <row r="42" spans="1:15" ht="32">
      <c r="A42" s="70"/>
      <c r="B42" s="70">
        <f t="shared" si="5"/>
        <v>29215621365000.004</v>
      </c>
      <c r="C42" s="102" t="s">
        <v>222</v>
      </c>
      <c r="D42" s="103">
        <v>292156.21365000005</v>
      </c>
      <c r="E42" s="104">
        <f>IF(D44&gt;0, D42/D44,0)</f>
        <v>0.43952352187010535</v>
      </c>
      <c r="F42" s="103">
        <f t="shared" si="4"/>
        <v>292156.21365000005</v>
      </c>
      <c r="G42" s="104">
        <f>E7</f>
        <v>0</v>
      </c>
      <c r="H42" s="77"/>
      <c r="I42" s="90"/>
      <c r="J42" s="89"/>
      <c r="K42" s="90"/>
      <c r="L42" s="95"/>
      <c r="M42" s="79"/>
      <c r="N42" s="79"/>
      <c r="O42" s="79"/>
    </row>
    <row r="43" spans="1:15" ht="32">
      <c r="A43" s="70"/>
      <c r="B43" s="70">
        <f t="shared" si="5"/>
        <v>37255500000000</v>
      </c>
      <c r="C43" s="102" t="s">
        <v>65</v>
      </c>
      <c r="D43" s="103">
        <v>372555</v>
      </c>
      <c r="E43" s="104">
        <f>IF(D44&gt;0, D43/D44,0)</f>
        <v>0.56047647812989465</v>
      </c>
      <c r="F43" s="103">
        <f t="shared" si="4"/>
        <v>372555</v>
      </c>
      <c r="G43" s="104">
        <f>E8</f>
        <v>0</v>
      </c>
      <c r="H43" s="77"/>
      <c r="I43" s="90"/>
      <c r="J43" s="89"/>
      <c r="K43" s="90"/>
      <c r="L43" s="90"/>
      <c r="M43" s="79"/>
      <c r="N43" s="79"/>
      <c r="O43" s="79"/>
    </row>
    <row r="44" spans="1:15" ht="16">
      <c r="A44" s="70"/>
      <c r="B44" s="70">
        <f>D44*10^8</f>
        <v>66471121365000.008</v>
      </c>
      <c r="C44" s="102" t="s">
        <v>125</v>
      </c>
      <c r="D44" s="103">
        <f>SUM(D40:D43)</f>
        <v>664711.21365000005</v>
      </c>
      <c r="E44" s="104">
        <v>1</v>
      </c>
      <c r="F44" s="103">
        <f>SUM(F40:F43)</f>
        <v>664711.21365000005</v>
      </c>
      <c r="G44" s="104">
        <f>IF(D44&gt;0,1-F44/D44,0)</f>
        <v>0</v>
      </c>
      <c r="H44" s="77"/>
      <c r="I44" s="130"/>
      <c r="J44" s="89"/>
      <c r="K44" s="90"/>
      <c r="L44" s="90"/>
      <c r="M44" s="79"/>
      <c r="N44" s="79"/>
      <c r="O44" s="79"/>
    </row>
    <row r="45" spans="1:15">
      <c r="A45" s="70"/>
      <c r="B45" s="70"/>
      <c r="C45" s="70"/>
      <c r="D45" s="77"/>
      <c r="E45" s="78"/>
      <c r="F45" s="77"/>
      <c r="G45" s="78"/>
      <c r="H45" s="77"/>
      <c r="I45" s="130"/>
      <c r="J45" s="89"/>
      <c r="K45" s="90"/>
      <c r="L45" s="90"/>
      <c r="M45" s="79"/>
      <c r="N45" s="79"/>
      <c r="O45" s="79"/>
    </row>
    <row r="46" spans="1:15">
      <c r="A46" s="70"/>
      <c r="B46" s="70"/>
      <c r="C46" s="70"/>
      <c r="D46" s="77"/>
      <c r="E46" s="78"/>
      <c r="F46" s="77"/>
      <c r="G46" s="78"/>
      <c r="H46" s="77"/>
      <c r="I46" s="90"/>
      <c r="J46" s="89"/>
      <c r="K46" s="90"/>
      <c r="L46" s="90"/>
      <c r="M46" s="79"/>
      <c r="N46" s="79"/>
      <c r="O46" s="79"/>
    </row>
    <row r="47" spans="1:15" ht="48">
      <c r="A47" s="70" t="s">
        <v>224</v>
      </c>
      <c r="B47" s="70"/>
      <c r="C47" s="70"/>
      <c r="D47" s="77"/>
      <c r="E47" s="78"/>
      <c r="F47" s="77"/>
      <c r="G47" s="78"/>
      <c r="H47" s="77"/>
      <c r="I47" s="90"/>
      <c r="J47" s="89"/>
      <c r="K47" s="90"/>
      <c r="L47" s="90"/>
      <c r="M47" s="79"/>
      <c r="N47" s="79"/>
      <c r="O47" s="79"/>
    </row>
    <row r="48" spans="1:15">
      <c r="A48" s="70"/>
      <c r="B48" s="70"/>
      <c r="C48" s="70"/>
      <c r="D48" s="77"/>
      <c r="E48" s="78"/>
      <c r="F48" s="77"/>
      <c r="G48" s="78"/>
      <c r="H48" s="110"/>
      <c r="I48" s="95"/>
      <c r="J48" s="94"/>
      <c r="K48" s="95"/>
      <c r="L48" s="90"/>
      <c r="M48" s="79"/>
      <c r="N48" s="79"/>
      <c r="O48" s="79"/>
    </row>
    <row r="49" spans="1:15" ht="101">
      <c r="A49" s="70"/>
      <c r="B49" s="70"/>
      <c r="C49" s="96" t="s">
        <v>198</v>
      </c>
      <c r="D49" s="97" t="s">
        <v>199</v>
      </c>
      <c r="E49" s="98" t="s">
        <v>200</v>
      </c>
      <c r="F49" s="97" t="s">
        <v>201</v>
      </c>
      <c r="G49" s="98" t="s">
        <v>202</v>
      </c>
      <c r="H49" s="77"/>
      <c r="I49" s="90"/>
      <c r="J49" s="89"/>
      <c r="K49" s="90"/>
      <c r="L49" s="90"/>
      <c r="M49" s="79"/>
      <c r="N49" s="79"/>
      <c r="O49" s="79"/>
    </row>
    <row r="50" spans="1:15" ht="16">
      <c r="A50" s="70"/>
      <c r="B50" s="70"/>
      <c r="C50" s="102" t="s">
        <v>146</v>
      </c>
      <c r="D50" s="103">
        <v>142727.3795597532</v>
      </c>
      <c r="E50" s="104">
        <f>IF(D56&gt;0, D50/D56,0)</f>
        <v>9.6118625037365981E-3</v>
      </c>
      <c r="F50" s="103">
        <v>142727.3795597532</v>
      </c>
      <c r="G50" s="104">
        <v>0</v>
      </c>
      <c r="H50" s="77"/>
      <c r="I50" s="90"/>
      <c r="J50" s="89"/>
      <c r="K50" s="90"/>
      <c r="L50" s="90"/>
      <c r="M50" s="79"/>
      <c r="N50" s="79"/>
      <c r="O50" s="79"/>
    </row>
    <row r="51" spans="1:15" ht="16">
      <c r="A51" s="70"/>
      <c r="B51" s="70">
        <f>D50*10^8</f>
        <v>14272737955975.32</v>
      </c>
      <c r="C51" s="102" t="s">
        <v>167</v>
      </c>
      <c r="D51" s="103">
        <v>13231982.43642064</v>
      </c>
      <c r="E51" s="104">
        <f>IF(D56&gt;0, D51/D56,0)</f>
        <v>0.89109739296717672</v>
      </c>
      <c r="F51" s="103">
        <v>13231982.43642064</v>
      </c>
      <c r="G51" s="104">
        <v>0</v>
      </c>
      <c r="H51" s="77"/>
      <c r="I51" s="90"/>
      <c r="J51" s="89"/>
      <c r="K51" s="90"/>
      <c r="L51" s="95"/>
      <c r="M51" s="79"/>
      <c r="N51" s="79"/>
      <c r="O51" s="79"/>
    </row>
    <row r="52" spans="1:15" ht="16">
      <c r="A52" s="70"/>
      <c r="B52" s="70">
        <f t="shared" ref="B52:B57" si="6">D51*10^8</f>
        <v>1323198243642064</v>
      </c>
      <c r="C52" s="102" t="s">
        <v>168</v>
      </c>
      <c r="D52" s="103">
        <v>1425318.2798967781</v>
      </c>
      <c r="E52" s="104">
        <f>IF(D56&gt;0, D52/D56,0)</f>
        <v>9.5986932378974002E-2</v>
      </c>
      <c r="F52" s="103">
        <v>1425318.2798967781</v>
      </c>
      <c r="G52" s="104">
        <v>0</v>
      </c>
      <c r="H52" s="77"/>
      <c r="I52" s="90"/>
      <c r="J52" s="89"/>
      <c r="K52" s="90"/>
      <c r="L52" s="90"/>
      <c r="M52" s="79"/>
      <c r="N52" s="79"/>
      <c r="O52" s="79"/>
    </row>
    <row r="53" spans="1:15" ht="16">
      <c r="A53" s="70"/>
      <c r="B53" s="70">
        <f t="shared" si="6"/>
        <v>142531827989677.81</v>
      </c>
      <c r="C53" s="102" t="s">
        <v>208</v>
      </c>
      <c r="D53" s="103">
        <v>0</v>
      </c>
      <c r="E53" s="104">
        <f>IF(D56&gt;0, D53/D56,0)</f>
        <v>0</v>
      </c>
      <c r="F53" s="103">
        <v>0</v>
      </c>
      <c r="G53" s="104">
        <v>0</v>
      </c>
      <c r="H53" s="77"/>
      <c r="I53" s="90"/>
      <c r="J53" s="89"/>
      <c r="K53" s="90"/>
      <c r="L53" s="90"/>
      <c r="M53" s="79"/>
      <c r="N53" s="79"/>
      <c r="O53" s="79"/>
    </row>
    <row r="54" spans="1:15" ht="16">
      <c r="A54" s="70"/>
      <c r="B54" s="70">
        <f t="shared" si="6"/>
        <v>0</v>
      </c>
      <c r="C54" s="102" t="s">
        <v>209</v>
      </c>
      <c r="D54" s="103">
        <v>0</v>
      </c>
      <c r="E54" s="104">
        <f>IF(D56&gt;0, D54/D56,0)</f>
        <v>0</v>
      </c>
      <c r="F54" s="103">
        <v>0</v>
      </c>
      <c r="G54" s="104">
        <v>0</v>
      </c>
      <c r="H54" s="77"/>
      <c r="I54" s="90"/>
      <c r="J54" s="89"/>
      <c r="K54" s="90"/>
      <c r="L54" s="90"/>
      <c r="M54" s="79"/>
      <c r="N54" s="79"/>
      <c r="O54" s="79"/>
    </row>
    <row r="55" spans="1:15" ht="16">
      <c r="A55" s="70"/>
      <c r="B55" s="70">
        <f t="shared" si="6"/>
        <v>0</v>
      </c>
      <c r="C55" s="102" t="s">
        <v>174</v>
      </c>
      <c r="D55" s="103">
        <v>49058.593020857683</v>
      </c>
      <c r="E55" s="104">
        <f>IF(D56&gt;0, D55/D56,0)</f>
        <v>3.3038121501126737E-3</v>
      </c>
      <c r="F55" s="103">
        <v>49058.593020857683</v>
      </c>
      <c r="G55" s="104">
        <v>0</v>
      </c>
      <c r="H55" s="77"/>
      <c r="I55" s="90"/>
      <c r="J55" s="89"/>
      <c r="K55" s="90"/>
      <c r="L55" s="90"/>
      <c r="M55" s="79"/>
      <c r="N55" s="79"/>
      <c r="O55" s="79"/>
    </row>
    <row r="56" spans="1:15" ht="16">
      <c r="A56" s="70"/>
      <c r="B56" s="70">
        <f t="shared" si="6"/>
        <v>4905859302085.7686</v>
      </c>
      <c r="C56" s="102" t="s">
        <v>125</v>
      </c>
      <c r="D56" s="103">
        <f>SUM(D50:D55)</f>
        <v>14849086.688898029</v>
      </c>
      <c r="E56" s="104">
        <v>1</v>
      </c>
      <c r="F56" s="103">
        <f>SUM(F50:F55)</f>
        <v>14849086.688898029</v>
      </c>
      <c r="G56" s="104">
        <f>1-F56/D56</f>
        <v>0</v>
      </c>
      <c r="H56" s="77"/>
      <c r="I56" s="90"/>
      <c r="J56" s="89"/>
      <c r="K56" s="90"/>
      <c r="L56" s="90"/>
      <c r="M56" s="79"/>
      <c r="N56" s="79"/>
      <c r="O56" s="79"/>
    </row>
    <row r="57" spans="1:15">
      <c r="A57" s="70"/>
      <c r="B57" s="70">
        <f t="shared" si="6"/>
        <v>1484908668889803</v>
      </c>
      <c r="C57" s="70"/>
      <c r="D57" s="77"/>
      <c r="E57" s="78"/>
      <c r="F57" s="77"/>
      <c r="G57" s="78"/>
      <c r="H57" s="110"/>
      <c r="I57" s="95"/>
      <c r="J57" s="94"/>
      <c r="K57" s="95"/>
      <c r="L57" s="90"/>
      <c r="M57" s="79"/>
      <c r="N57" s="79"/>
      <c r="O57" s="79"/>
    </row>
    <row r="58" spans="1:15" ht="101">
      <c r="A58" s="70"/>
      <c r="B58" s="70"/>
      <c r="C58" s="96" t="s">
        <v>191</v>
      </c>
      <c r="D58" s="97" t="s">
        <v>214</v>
      </c>
      <c r="E58" s="98" t="s">
        <v>215</v>
      </c>
      <c r="F58" s="97" t="s">
        <v>216</v>
      </c>
      <c r="G58" s="98" t="s">
        <v>202</v>
      </c>
      <c r="H58" s="77"/>
      <c r="I58" s="90"/>
      <c r="J58" s="89"/>
      <c r="K58" s="90"/>
      <c r="L58" s="90"/>
      <c r="M58" s="79"/>
      <c r="N58" s="79"/>
      <c r="O58" s="79"/>
    </row>
    <row r="59" spans="1:15" ht="32">
      <c r="A59" s="70"/>
      <c r="B59" s="70">
        <f>D59*10^8</f>
        <v>0</v>
      </c>
      <c r="C59" s="102" t="s">
        <v>218</v>
      </c>
      <c r="D59" s="103">
        <v>0</v>
      </c>
      <c r="E59" s="104">
        <f>IF(D63&gt;0, D59/D63,0)</f>
        <v>0</v>
      </c>
      <c r="F59" s="103">
        <f t="shared" ref="F59:F62" si="7">IF(D59&gt;0,(1-G59)*D59,0)</f>
        <v>0</v>
      </c>
      <c r="G59" s="104">
        <f>E5</f>
        <v>0</v>
      </c>
      <c r="H59" s="77"/>
      <c r="I59" s="90"/>
      <c r="J59" s="89"/>
      <c r="K59" s="90"/>
      <c r="L59" s="95"/>
      <c r="M59" s="79"/>
      <c r="N59" s="79"/>
      <c r="O59" s="79"/>
    </row>
    <row r="60" spans="1:15" ht="48">
      <c r="A60" s="70"/>
      <c r="B60" s="70">
        <f t="shared" ref="B60:B63" si="8">D60*10^8</f>
        <v>0</v>
      </c>
      <c r="C60" s="102" t="s">
        <v>220</v>
      </c>
      <c r="D60" s="103">
        <v>0</v>
      </c>
      <c r="E60" s="104">
        <f>IF(D63&gt;0, D60/D63,0)</f>
        <v>0</v>
      </c>
      <c r="F60" s="103">
        <f t="shared" si="7"/>
        <v>0</v>
      </c>
      <c r="G60" s="104">
        <f>E6</f>
        <v>0</v>
      </c>
      <c r="H60" s="77"/>
      <c r="I60" s="90"/>
      <c r="J60" s="89"/>
      <c r="K60" s="90"/>
      <c r="L60" s="90"/>
      <c r="M60" s="79"/>
      <c r="N60" s="79"/>
      <c r="O60" s="79"/>
    </row>
    <row r="61" spans="1:15" ht="32">
      <c r="A61" s="70"/>
      <c r="B61" s="70">
        <f t="shared" si="8"/>
        <v>8041159985000.001</v>
      </c>
      <c r="C61" s="102" t="s">
        <v>222</v>
      </c>
      <c r="D61" s="103">
        <v>80411.599850000013</v>
      </c>
      <c r="E61" s="104">
        <f>IF(D63&gt;0, D61/D63,0)</f>
        <v>0.17752213932909919</v>
      </c>
      <c r="F61" s="103">
        <f t="shared" si="7"/>
        <v>80411.599850000013</v>
      </c>
      <c r="G61" s="104">
        <f>E7</f>
        <v>0</v>
      </c>
      <c r="H61" s="77"/>
      <c r="I61" s="130"/>
      <c r="J61" s="89"/>
      <c r="K61" s="90"/>
      <c r="L61" s="90"/>
      <c r="M61" s="79"/>
      <c r="N61" s="79"/>
      <c r="O61" s="79"/>
    </row>
    <row r="62" spans="1:15" ht="32">
      <c r="A62" s="70"/>
      <c r="B62" s="70">
        <f t="shared" si="8"/>
        <v>37255500000000</v>
      </c>
      <c r="C62" s="102" t="s">
        <v>65</v>
      </c>
      <c r="D62" s="103">
        <v>372555</v>
      </c>
      <c r="E62" s="104">
        <f>IF(D63&gt;0, D62/D63,0)</f>
        <v>0.8224778606709009</v>
      </c>
      <c r="F62" s="103">
        <f t="shared" si="7"/>
        <v>372555</v>
      </c>
      <c r="G62" s="104">
        <f>E8</f>
        <v>0</v>
      </c>
      <c r="H62" s="77"/>
      <c r="I62" s="130"/>
      <c r="J62" s="89"/>
      <c r="K62" s="90"/>
      <c r="L62" s="90"/>
      <c r="M62" s="79"/>
      <c r="N62" s="79"/>
      <c r="O62" s="79"/>
    </row>
    <row r="63" spans="1:15" ht="16">
      <c r="A63" s="70"/>
      <c r="B63" s="70">
        <f t="shared" si="8"/>
        <v>45296659985000</v>
      </c>
      <c r="C63" s="102" t="s">
        <v>125</v>
      </c>
      <c r="D63" s="103">
        <f>SUM(D59:D62)</f>
        <v>452966.59985</v>
      </c>
      <c r="E63" s="104">
        <v>1</v>
      </c>
      <c r="F63" s="103">
        <f>SUM(F59:F62)</f>
        <v>452966.59985</v>
      </c>
      <c r="G63" s="104">
        <f>IF(D63&gt;0,1-F63/D63,0)</f>
        <v>0</v>
      </c>
      <c r="H63" s="77"/>
      <c r="I63" s="90"/>
      <c r="J63" s="89"/>
      <c r="K63" s="90"/>
      <c r="L63" s="90"/>
      <c r="M63" s="79"/>
      <c r="N63" s="79"/>
      <c r="O63" s="79"/>
    </row>
    <row r="64" spans="1:15">
      <c r="A64" s="70"/>
      <c r="B64" s="70"/>
      <c r="C64" s="70"/>
      <c r="D64" s="77"/>
      <c r="E64" s="78"/>
      <c r="F64" s="77"/>
      <c r="G64" s="78"/>
      <c r="H64" s="77"/>
      <c r="I64" s="90"/>
      <c r="J64" s="89"/>
      <c r="K64" s="90"/>
      <c r="L64" s="90"/>
      <c r="M64" s="79"/>
      <c r="N64" s="79"/>
      <c r="O64" s="79"/>
    </row>
  </sheetData>
  <mergeCells count="1">
    <mergeCell ref="B2:H2"/>
  </mergeCells>
  <conditionalFormatting sqref="E1:E64">
    <cfRule type="cellIs" dxfId="2" priority="2" operator="between">
      <formula>0.005</formula>
      <formula>0.01</formula>
    </cfRule>
  </conditionalFormatting>
  <conditionalFormatting sqref="G1:G64">
    <cfRule type="cellIs" dxfId="1" priority="3" operator="between">
      <formula>0.005</formula>
      <formula>0.01</formula>
    </cfRule>
  </conditionalFormatting>
  <conditionalFormatting sqref="K20">
    <cfRule type="cellIs" dxfId="0" priority="1" operator="between">
      <formula>0.005</formula>
      <formula>0.01</formula>
    </cfRule>
  </conditionalFormatting>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Input - Animals</vt:lpstr>
      <vt:lpstr>Input-Landuse</vt:lpstr>
      <vt:lpstr>Input- Human Use</vt:lpstr>
      <vt:lpstr>Results - Report Summary</vt:lpstr>
      <vt:lpstr>Results-ReportAppendix1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GIS MACHINE</dc:creator>
  <cp:lastModifiedBy>Microsoft Office User</cp:lastModifiedBy>
  <cp:lastPrinted>2019-10-28T22:55:11Z</cp:lastPrinted>
  <dcterms:created xsi:type="dcterms:W3CDTF">2019-03-28T20:38:15Z</dcterms:created>
  <dcterms:modified xsi:type="dcterms:W3CDTF">2019-11-06T22:18:38Z</dcterms:modified>
</cp:coreProperties>
</file>