
<file path=[Content_Types].xml><?xml version="1.0" encoding="utf-8"?>
<Types xmlns="http://schemas.openxmlformats.org/package/2006/content-types">
  <Default Extension="png" ContentType="image/png"/>
  <Default Extension="tmp"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autoCompressPictures="0"/>
  <mc:AlternateContent xmlns:mc="http://schemas.openxmlformats.org/markup-compatibility/2006">
    <mc:Choice Requires="x15">
      <x15ac:absPath xmlns:x15ac="http://schemas.microsoft.com/office/spreadsheetml/2010/11/ac" url="\\NMENV\ServerShares$\User Shares\pedro.archuleta.nmenv\Word Press Flyers\"/>
    </mc:Choice>
  </mc:AlternateContent>
  <xr:revisionPtr revIDLastSave="0" documentId="8_{E0768081-D6BB-4538-AD43-D6C15FDA6A80}" xr6:coauthVersionLast="36" xr6:coauthVersionMax="36" xr10:uidLastSave="{00000000-0000-0000-0000-000000000000}"/>
  <bookViews>
    <workbookView xWindow="0" yWindow="0" windowWidth="21570" windowHeight="11565" xr2:uid="{00000000-000D-0000-FFFF-FFFF00000000}"/>
  </bookViews>
  <sheets>
    <sheet name="Instructions" sheetId="15" r:id="rId1"/>
    <sheet name="Data Input 1" sheetId="10" r:id="rId2"/>
    <sheet name="Data Input 2" sheetId="13" r:id="rId3"/>
    <sheet name="Charts" sheetId="11" r:id="rId4"/>
    <sheet name="Compare Monthly Bills" sheetId="16" r:id="rId5"/>
    <sheet name="Fund Balance - Existing Rates" sheetId="7" r:id="rId6"/>
    <sheet name="Fund Balance - New Rates" sheetId="14" r:id="rId7"/>
    <sheet name="Example of Block Consumption" sheetId="17" r:id="rId8"/>
  </sheets>
  <definedNames>
    <definedName name="_xlnm.Print_Area" localSheetId="3">Charts!$A$10:$Q$55</definedName>
    <definedName name="_xlnm.Print_Area" localSheetId="5">'Fund Balance - Existing Rates'!$A$4:$N$85</definedName>
    <definedName name="_xlnm.Print_Area" localSheetId="6">'Fund Balance - New Rates'!$A$4:$N$94</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41" i="17" l="1"/>
  <c r="G41" i="17"/>
  <c r="E41" i="17"/>
  <c r="D41" i="17"/>
  <c r="G35" i="17"/>
  <c r="F35" i="17"/>
  <c r="E35" i="17"/>
  <c r="G34" i="17"/>
  <c r="F34" i="17"/>
  <c r="E34" i="17"/>
  <c r="G33" i="17"/>
  <c r="F33" i="17"/>
  <c r="E33" i="17"/>
  <c r="G32" i="17"/>
  <c r="F32" i="17"/>
  <c r="E32" i="17"/>
  <c r="G31" i="17"/>
  <c r="F31" i="17"/>
  <c r="E31" i="17"/>
  <c r="G30" i="17"/>
  <c r="F30" i="17"/>
  <c r="E30" i="17"/>
  <c r="G29" i="17"/>
  <c r="F29" i="17"/>
  <c r="E29" i="17"/>
  <c r="G28" i="17"/>
  <c r="F28" i="17"/>
  <c r="E28" i="17"/>
  <c r="H28" i="17" s="1"/>
  <c r="G27" i="17"/>
  <c r="F27" i="17"/>
  <c r="E27" i="17"/>
  <c r="G26" i="17"/>
  <c r="F26" i="17"/>
  <c r="E26" i="17"/>
  <c r="G25" i="17"/>
  <c r="F25" i="17"/>
  <c r="E25" i="17"/>
  <c r="G24" i="17"/>
  <c r="F24" i="17"/>
  <c r="E24" i="17"/>
  <c r="G23" i="17"/>
  <c r="F23" i="17"/>
  <c r="E23" i="17"/>
  <c r="G22" i="17"/>
  <c r="F22" i="17"/>
  <c r="E22" i="17"/>
  <c r="G21" i="17"/>
  <c r="F21" i="17"/>
  <c r="E21" i="17"/>
  <c r="G20" i="17"/>
  <c r="F20" i="17"/>
  <c r="E20" i="17"/>
  <c r="H20" i="17" s="1"/>
  <c r="G19" i="17"/>
  <c r="F19" i="17"/>
  <c r="E19" i="17"/>
  <c r="G18" i="17"/>
  <c r="F18" i="17"/>
  <c r="E18" i="17"/>
  <c r="G17" i="17"/>
  <c r="F17" i="17"/>
  <c r="E17" i="17"/>
  <c r="G16" i="17"/>
  <c r="F16" i="17"/>
  <c r="E16" i="17"/>
  <c r="G15" i="17"/>
  <c r="F15" i="17"/>
  <c r="E15" i="17"/>
  <c r="G14" i="17"/>
  <c r="F14" i="17"/>
  <c r="E14" i="17"/>
  <c r="G13" i="17"/>
  <c r="F13" i="17"/>
  <c r="E13" i="17"/>
  <c r="G12" i="17"/>
  <c r="F12" i="17"/>
  <c r="E12" i="17"/>
  <c r="E38" i="17" s="1"/>
  <c r="D38" i="17"/>
  <c r="H21" i="17" l="1"/>
  <c r="H30" i="17"/>
  <c r="H15" i="17"/>
  <c r="H31" i="17"/>
  <c r="H16" i="17"/>
  <c r="H24" i="17"/>
  <c r="H12" i="17"/>
  <c r="H32" i="17"/>
  <c r="H22" i="17"/>
  <c r="H14" i="17"/>
  <c r="H25" i="17"/>
  <c r="H18" i="17"/>
  <c r="H26" i="17"/>
  <c r="H34" i="17"/>
  <c r="H19" i="17"/>
  <c r="H35" i="17"/>
  <c r="H17" i="17"/>
  <c r="H33" i="17"/>
  <c r="H13" i="17"/>
  <c r="H29" i="17"/>
  <c r="H27" i="17"/>
  <c r="H23" i="17"/>
  <c r="F38" i="17"/>
  <c r="G38" i="17"/>
  <c r="A83" i="14" l="1"/>
  <c r="C72" i="14"/>
  <c r="C73" i="14"/>
  <c r="C76" i="14"/>
  <c r="C77" i="14"/>
  <c r="C80" i="14"/>
  <c r="C81" i="14"/>
  <c r="B72" i="14"/>
  <c r="B73" i="14"/>
  <c r="B74" i="14"/>
  <c r="C74" i="14" s="1"/>
  <c r="B75" i="14"/>
  <c r="C75" i="14" s="1"/>
  <c r="B76" i="14"/>
  <c r="B77" i="14"/>
  <c r="B78" i="14"/>
  <c r="C78" i="14" s="1"/>
  <c r="B79" i="14"/>
  <c r="C79" i="14" s="1"/>
  <c r="B80" i="14"/>
  <c r="B81" i="14"/>
  <c r="A72" i="14"/>
  <c r="A73" i="14"/>
  <c r="A74" i="14"/>
  <c r="A75" i="14"/>
  <c r="A76" i="14"/>
  <c r="A77" i="14"/>
  <c r="A78" i="14"/>
  <c r="A79" i="14"/>
  <c r="A80" i="14"/>
  <c r="A81" i="14"/>
  <c r="A83" i="7"/>
  <c r="C72" i="7"/>
  <c r="C73" i="7"/>
  <c r="C76" i="7"/>
  <c r="C77" i="7"/>
  <c r="C80" i="7"/>
  <c r="C81" i="7"/>
  <c r="B72" i="7"/>
  <c r="B73" i="7"/>
  <c r="B74" i="7"/>
  <c r="C74" i="7" s="1"/>
  <c r="B75" i="7"/>
  <c r="C75" i="7" s="1"/>
  <c r="B76" i="7"/>
  <c r="B77" i="7"/>
  <c r="B78" i="7"/>
  <c r="C78" i="7" s="1"/>
  <c r="B79" i="7"/>
  <c r="C79" i="7" s="1"/>
  <c r="B80" i="7"/>
  <c r="B81" i="7"/>
  <c r="A72" i="7"/>
  <c r="A73" i="7"/>
  <c r="A74" i="7"/>
  <c r="A75" i="7"/>
  <c r="A76" i="7"/>
  <c r="A77" i="7"/>
  <c r="A78" i="7"/>
  <c r="A79" i="7"/>
  <c r="A80" i="7"/>
  <c r="A81" i="7"/>
  <c r="D8" i="13" l="1"/>
  <c r="D7" i="13" l="1"/>
  <c r="K30" i="13"/>
  <c r="D5" i="13"/>
  <c r="C83" i="14" a="1"/>
  <c r="C83" i="14" s="1"/>
  <c r="B71" i="14"/>
  <c r="A71" i="14"/>
  <c r="C83" i="7" a="1"/>
  <c r="J83" i="7" s="1"/>
  <c r="B71" i="7"/>
  <c r="C71" i="7" s="1"/>
  <c r="A71" i="7"/>
  <c r="K5" i="13"/>
  <c r="G7" i="13" s="1"/>
  <c r="M18" i="13"/>
  <c r="M19" i="13" s="1"/>
  <c r="M20" i="13" s="1"/>
  <c r="M21" i="13" s="1"/>
  <c r="M22" i="13" s="1"/>
  <c r="M23" i="13" s="1"/>
  <c r="M24" i="13" s="1"/>
  <c r="M25" i="13" s="1"/>
  <c r="M26" i="13" s="1"/>
  <c r="M27" i="13" s="1"/>
  <c r="M28" i="13" s="1"/>
  <c r="M29" i="13" s="1"/>
  <c r="M30" i="13" s="1"/>
  <c r="M31" i="13" s="1"/>
  <c r="M32" i="13" s="1"/>
  <c r="M33" i="13" s="1"/>
  <c r="M34" i="13" s="1"/>
  <c r="M35" i="13" s="1"/>
  <c r="M36" i="13" s="1"/>
  <c r="M37" i="13" s="1"/>
  <c r="M38" i="13" s="1"/>
  <c r="M39" i="13" s="1"/>
  <c r="Q83" i="14" l="1"/>
  <c r="I83" i="14"/>
  <c r="P83" i="14"/>
  <c r="H83" i="14"/>
  <c r="W83" i="14"/>
  <c r="O83" i="14"/>
  <c r="G83" i="14"/>
  <c r="R83" i="14"/>
  <c r="V83" i="14"/>
  <c r="F83" i="14"/>
  <c r="U83" i="14"/>
  <c r="E83" i="14"/>
  <c r="T83" i="14"/>
  <c r="L83" i="14"/>
  <c r="D83" i="14"/>
  <c r="J83" i="14"/>
  <c r="N83" i="14"/>
  <c r="M83" i="14"/>
  <c r="S83" i="14"/>
  <c r="K83" i="14"/>
  <c r="Q83" i="7"/>
  <c r="I83" i="7"/>
  <c r="P83" i="7"/>
  <c r="H83" i="7"/>
  <c r="W83" i="7"/>
  <c r="O83" i="7"/>
  <c r="G83" i="7"/>
  <c r="F83" i="7"/>
  <c r="M83" i="7"/>
  <c r="E83" i="7"/>
  <c r="T83" i="7"/>
  <c r="L83" i="7"/>
  <c r="D83" i="7"/>
  <c r="N83" i="7"/>
  <c r="U83" i="7"/>
  <c r="S83" i="7"/>
  <c r="K83" i="7"/>
  <c r="C83" i="7"/>
  <c r="C86" i="7" s="1"/>
  <c r="C85" i="7" s="1"/>
  <c r="V83" i="7"/>
  <c r="R83" i="7"/>
  <c r="AA10" i="16" l="1"/>
  <c r="AA11" i="16"/>
  <c r="AA12" i="16"/>
  <c r="AA13" i="16"/>
  <c r="AA14" i="16"/>
  <c r="AA15" i="16"/>
  <c r="AA16" i="16"/>
  <c r="AA17" i="16"/>
  <c r="AA18" i="16"/>
  <c r="AA19" i="16"/>
  <c r="AA20" i="16"/>
  <c r="AA21" i="16"/>
  <c r="AA22" i="16"/>
  <c r="AA23" i="16"/>
  <c r="AA24" i="16"/>
  <c r="AA25" i="16"/>
  <c r="AA26" i="16"/>
  <c r="AA27" i="16"/>
  <c r="AA28" i="16"/>
  <c r="AA9" i="16"/>
  <c r="S138" i="16" l="1"/>
  <c r="S32" i="16"/>
  <c r="Z32" i="16"/>
  <c r="Z6" i="16"/>
  <c r="S6" i="16"/>
  <c r="T142" i="16"/>
  <c r="T143" i="16"/>
  <c r="T144" i="16"/>
  <c r="T145" i="16"/>
  <c r="T146" i="16"/>
  <c r="T147" i="16"/>
  <c r="T148" i="16"/>
  <c r="T149" i="16"/>
  <c r="T150" i="16"/>
  <c r="T151" i="16"/>
  <c r="T152" i="16"/>
  <c r="T153" i="16"/>
  <c r="T154" i="16"/>
  <c r="T155" i="16"/>
  <c r="T156" i="16"/>
  <c r="T157" i="16"/>
  <c r="T158" i="16"/>
  <c r="T159" i="16"/>
  <c r="T160" i="16"/>
  <c r="T161" i="16"/>
  <c r="T162" i="16"/>
  <c r="T163" i="16"/>
  <c r="T164" i="16"/>
  <c r="T165" i="16"/>
  <c r="T166" i="16"/>
  <c r="T167" i="16"/>
  <c r="T168" i="16"/>
  <c r="T169" i="16"/>
  <c r="T170" i="16"/>
  <c r="T171" i="16"/>
  <c r="T172" i="16"/>
  <c r="T173" i="16"/>
  <c r="T174" i="16"/>
  <c r="T175" i="16"/>
  <c r="T176" i="16"/>
  <c r="T177" i="16"/>
  <c r="T178" i="16"/>
  <c r="T179" i="16"/>
  <c r="T180" i="16"/>
  <c r="T181" i="16"/>
  <c r="T182" i="16"/>
  <c r="T183" i="16"/>
  <c r="T184" i="16"/>
  <c r="T185" i="16"/>
  <c r="T186" i="16"/>
  <c r="T187" i="16"/>
  <c r="T188" i="16"/>
  <c r="T189" i="16"/>
  <c r="T190"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66" i="16"/>
  <c r="Y67" i="16"/>
  <c r="Y68" i="16"/>
  <c r="Y69" i="16"/>
  <c r="Y70" i="16"/>
  <c r="Y71" i="16"/>
  <c r="Y72" i="16"/>
  <c r="Y73" i="16"/>
  <c r="Y74" i="16"/>
  <c r="Y75" i="16"/>
  <c r="Y76" i="16"/>
  <c r="Y77" i="16"/>
  <c r="Y78" i="16"/>
  <c r="Y79" i="16"/>
  <c r="Y80" i="16"/>
  <c r="Y81" i="16"/>
  <c r="Y82" i="16"/>
  <c r="Y83" i="16"/>
  <c r="Y84" i="16"/>
  <c r="Y85" i="16"/>
  <c r="Y86" i="16"/>
  <c r="Y87" i="16"/>
  <c r="Y88" i="16"/>
  <c r="Y89" i="16"/>
  <c r="Y90" i="16"/>
  <c r="Y91" i="16"/>
  <c r="Y92" i="16"/>
  <c r="Y93" i="16"/>
  <c r="Y94" i="16"/>
  <c r="Y95" i="16"/>
  <c r="Y96" i="16"/>
  <c r="Y97" i="16"/>
  <c r="Y98" i="16"/>
  <c r="Y99" i="16"/>
  <c r="Y100" i="16"/>
  <c r="Y101" i="16"/>
  <c r="Y102" i="16"/>
  <c r="Y103" i="16"/>
  <c r="Y104" i="16"/>
  <c r="Y105" i="16"/>
  <c r="Y106" i="16"/>
  <c r="Y107" i="16"/>
  <c r="Y108" i="16"/>
  <c r="Y109" i="16"/>
  <c r="Y110" i="16"/>
  <c r="Y111" i="16"/>
  <c r="Y112" i="16"/>
  <c r="Y113" i="16"/>
  <c r="Y114" i="16"/>
  <c r="Y115" i="16"/>
  <c r="Y116" i="16"/>
  <c r="Y117" i="16"/>
  <c r="Y118" i="16"/>
  <c r="Y119" i="16"/>
  <c r="Y120" i="16"/>
  <c r="Y121" i="16"/>
  <c r="Y122" i="16"/>
  <c r="Y123" i="16"/>
  <c r="Y124" i="16"/>
  <c r="Y125" i="16"/>
  <c r="Y126" i="16"/>
  <c r="Y127" i="16"/>
  <c r="Y128" i="16"/>
  <c r="Y129" i="16"/>
  <c r="Y130" i="16"/>
  <c r="Y131" i="16"/>
  <c r="Y132" i="16"/>
  <c r="Y133" i="16"/>
  <c r="Y134" i="16"/>
  <c r="Y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1" i="16"/>
  <c r="T102" i="16"/>
  <c r="T103" i="16"/>
  <c r="T104" i="16"/>
  <c r="T105" i="16"/>
  <c r="T106" i="16"/>
  <c r="T107" i="16"/>
  <c r="T108" i="16"/>
  <c r="T109" i="16"/>
  <c r="T110" i="16"/>
  <c r="T111" i="16"/>
  <c r="T112" i="16"/>
  <c r="T113" i="16"/>
  <c r="T114" i="16"/>
  <c r="T115" i="16"/>
  <c r="T116" i="16"/>
  <c r="T117" i="16"/>
  <c r="T118" i="16"/>
  <c r="T119" i="16"/>
  <c r="T120" i="16"/>
  <c r="T121" i="16"/>
  <c r="T122" i="16"/>
  <c r="T123" i="16"/>
  <c r="T124" i="16"/>
  <c r="T125" i="16"/>
  <c r="T126" i="16"/>
  <c r="T127" i="16"/>
  <c r="T128" i="16"/>
  <c r="T129" i="16"/>
  <c r="T130" i="16"/>
  <c r="T131" i="16"/>
  <c r="T132" i="16"/>
  <c r="T133" i="16"/>
  <c r="T134" i="16"/>
  <c r="T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35" i="16"/>
  <c r="Y10" i="16"/>
  <c r="Y11" i="16"/>
  <c r="Y12" i="16"/>
  <c r="Y13" i="16"/>
  <c r="Y14" i="16"/>
  <c r="Y15" i="16"/>
  <c r="Y16" i="16"/>
  <c r="Y17" i="16"/>
  <c r="Y18" i="16"/>
  <c r="Y19" i="16"/>
  <c r="Y20" i="16"/>
  <c r="Y21" i="16"/>
  <c r="Y22" i="16"/>
  <c r="Y23" i="16"/>
  <c r="Y24" i="16"/>
  <c r="Y25" i="16"/>
  <c r="Y26" i="16"/>
  <c r="Y27" i="16"/>
  <c r="Y28" i="16"/>
  <c r="Y9" i="16"/>
  <c r="T10" i="16"/>
  <c r="T11" i="16"/>
  <c r="T12" i="16"/>
  <c r="T13" i="16"/>
  <c r="T14" i="16"/>
  <c r="T15" i="16"/>
  <c r="T16" i="16"/>
  <c r="T17" i="16"/>
  <c r="T18" i="16"/>
  <c r="T19" i="16"/>
  <c r="T20" i="16"/>
  <c r="T21" i="16"/>
  <c r="T22" i="16"/>
  <c r="T23" i="16"/>
  <c r="T24" i="16"/>
  <c r="T25" i="16"/>
  <c r="T26" i="16"/>
  <c r="T27" i="16"/>
  <c r="T28" i="16"/>
  <c r="T9" i="16"/>
  <c r="R10" i="16"/>
  <c r="R11" i="16"/>
  <c r="R12" i="16"/>
  <c r="R13" i="16"/>
  <c r="R14" i="16"/>
  <c r="R15" i="16"/>
  <c r="R16" i="16"/>
  <c r="R17" i="16"/>
  <c r="R18" i="16"/>
  <c r="R19" i="16"/>
  <c r="R20" i="16"/>
  <c r="R21" i="16"/>
  <c r="R22" i="16"/>
  <c r="R23" i="16"/>
  <c r="R24" i="16"/>
  <c r="R25" i="16"/>
  <c r="R26" i="16"/>
  <c r="R27" i="16"/>
  <c r="R28" i="16"/>
  <c r="T141" i="16"/>
  <c r="R141" i="16"/>
  <c r="R9" i="16"/>
  <c r="U140" i="16"/>
  <c r="S140" i="16"/>
  <c r="AB34" i="16"/>
  <c r="Z34" i="16"/>
  <c r="S34" i="16"/>
  <c r="U34" i="16"/>
  <c r="AB8" i="16"/>
  <c r="Z8" i="16"/>
  <c r="U8" i="16"/>
  <c r="S8" i="16"/>
  <c r="AC34" i="16" l="1"/>
  <c r="V8" i="16"/>
  <c r="AC8" i="16"/>
  <c r="V34" i="16"/>
  <c r="V140" i="16"/>
  <c r="U35" i="16"/>
  <c r="U141" i="16"/>
  <c r="AB9" i="16"/>
  <c r="S35" i="16"/>
  <c r="S36" i="16" s="1"/>
  <c r="S37" i="16" s="1"/>
  <c r="S38" i="16" s="1"/>
  <c r="S39" i="16" s="1"/>
  <c r="S40" i="16" s="1"/>
  <c r="S41" i="16" s="1"/>
  <c r="S42" i="16" s="1"/>
  <c r="S43" i="16" s="1"/>
  <c r="S44" i="16" s="1"/>
  <c r="S45" i="16" s="1"/>
  <c r="S46" i="16" s="1"/>
  <c r="S47" i="16" s="1"/>
  <c r="S48" i="16" s="1"/>
  <c r="S49" i="16" s="1"/>
  <c r="S50" i="16" s="1"/>
  <c r="S51" i="16" s="1"/>
  <c r="S52" i="16" s="1"/>
  <c r="S53" i="16" s="1"/>
  <c r="S54" i="16" s="1"/>
  <c r="S55" i="16" s="1"/>
  <c r="S56" i="16" s="1"/>
  <c r="S57" i="16" s="1"/>
  <c r="S58" i="16" s="1"/>
  <c r="S59" i="16" s="1"/>
  <c r="S60" i="16" s="1"/>
  <c r="S61" i="16" s="1"/>
  <c r="S62" i="16" s="1"/>
  <c r="S63" i="16" s="1"/>
  <c r="S64" i="16" s="1"/>
  <c r="S65" i="16" s="1"/>
  <c r="S66" i="16" s="1"/>
  <c r="S67" i="16" s="1"/>
  <c r="S68" i="16" s="1"/>
  <c r="S69" i="16" s="1"/>
  <c r="S70" i="16" s="1"/>
  <c r="S71" i="16" s="1"/>
  <c r="S72" i="16" s="1"/>
  <c r="S73" i="16" s="1"/>
  <c r="S74" i="16" s="1"/>
  <c r="S75" i="16" s="1"/>
  <c r="S76" i="16" s="1"/>
  <c r="S77" i="16" s="1"/>
  <c r="S78" i="16" s="1"/>
  <c r="S79" i="16" s="1"/>
  <c r="S80" i="16" s="1"/>
  <c r="S81" i="16" s="1"/>
  <c r="S82" i="16" s="1"/>
  <c r="S83" i="16" s="1"/>
  <c r="S84" i="16" s="1"/>
  <c r="S85" i="16" s="1"/>
  <c r="S86" i="16" s="1"/>
  <c r="S87" i="16" s="1"/>
  <c r="S88" i="16" s="1"/>
  <c r="S89" i="16" s="1"/>
  <c r="S90" i="16" s="1"/>
  <c r="S91" i="16" s="1"/>
  <c r="S92" i="16" s="1"/>
  <c r="S93" i="16" s="1"/>
  <c r="S94" i="16" s="1"/>
  <c r="S95" i="16" s="1"/>
  <c r="S96" i="16" s="1"/>
  <c r="S97" i="16" s="1"/>
  <c r="S98" i="16" s="1"/>
  <c r="S99" i="16" s="1"/>
  <c r="S100" i="16" s="1"/>
  <c r="S101" i="16" s="1"/>
  <c r="S102" i="16" s="1"/>
  <c r="S103" i="16" s="1"/>
  <c r="S104" i="16" s="1"/>
  <c r="S105" i="16" s="1"/>
  <c r="S106" i="16" s="1"/>
  <c r="S107" i="16" s="1"/>
  <c r="S108" i="16" s="1"/>
  <c r="S109" i="16" s="1"/>
  <c r="S110" i="16" s="1"/>
  <c r="S111" i="16" s="1"/>
  <c r="S112" i="16" s="1"/>
  <c r="S113" i="16" s="1"/>
  <c r="S114" i="16" s="1"/>
  <c r="S115" i="16" s="1"/>
  <c r="S116" i="16" s="1"/>
  <c r="S117" i="16" s="1"/>
  <c r="S118" i="16" s="1"/>
  <c r="S119" i="16" s="1"/>
  <c r="S120" i="16" s="1"/>
  <c r="S121" i="16" s="1"/>
  <c r="S122" i="16" s="1"/>
  <c r="S123" i="16" s="1"/>
  <c r="S124" i="16" s="1"/>
  <c r="S125" i="16" s="1"/>
  <c r="S126" i="16" s="1"/>
  <c r="S127" i="16" s="1"/>
  <c r="S128" i="16" s="1"/>
  <c r="S129" i="16" s="1"/>
  <c r="S130" i="16" s="1"/>
  <c r="S131" i="16" s="1"/>
  <c r="S132" i="16" s="1"/>
  <c r="S133" i="16" s="1"/>
  <c r="S134" i="16" s="1"/>
  <c r="S141" i="16"/>
  <c r="S142" i="16" s="1"/>
  <c r="S143" i="16" s="1"/>
  <c r="S144" i="16" s="1"/>
  <c r="S145" i="16" s="1"/>
  <c r="S146" i="16" s="1"/>
  <c r="S147" i="16" s="1"/>
  <c r="S148" i="16" s="1"/>
  <c r="S149" i="16" s="1"/>
  <c r="S150" i="16" s="1"/>
  <c r="S151" i="16" s="1"/>
  <c r="S152" i="16" s="1"/>
  <c r="S153" i="16" s="1"/>
  <c r="S154" i="16" s="1"/>
  <c r="S155" i="16" s="1"/>
  <c r="S156" i="16" s="1"/>
  <c r="S157" i="16" s="1"/>
  <c r="S158" i="16" s="1"/>
  <c r="S159" i="16" s="1"/>
  <c r="S160" i="16" s="1"/>
  <c r="S161" i="16" s="1"/>
  <c r="S162" i="16" s="1"/>
  <c r="S163" i="16" s="1"/>
  <c r="S164" i="16" s="1"/>
  <c r="S165" i="16" s="1"/>
  <c r="S166" i="16" s="1"/>
  <c r="S167" i="16" s="1"/>
  <c r="S168" i="16" s="1"/>
  <c r="S169" i="16" s="1"/>
  <c r="S170" i="16" s="1"/>
  <c r="S171" i="16" s="1"/>
  <c r="S172" i="16" s="1"/>
  <c r="S173" i="16" s="1"/>
  <c r="S174" i="16" s="1"/>
  <c r="S175" i="16" s="1"/>
  <c r="S176" i="16" s="1"/>
  <c r="S177" i="16" s="1"/>
  <c r="S178" i="16" s="1"/>
  <c r="S179" i="16" s="1"/>
  <c r="S180" i="16" s="1"/>
  <c r="S181" i="16" s="1"/>
  <c r="S182" i="16" s="1"/>
  <c r="S183" i="16" s="1"/>
  <c r="S184" i="16" s="1"/>
  <c r="S185" i="16" s="1"/>
  <c r="S186" i="16" s="1"/>
  <c r="S187" i="16" s="1"/>
  <c r="S188" i="16" s="1"/>
  <c r="S189" i="16" s="1"/>
  <c r="S190" i="16" s="1"/>
  <c r="S9" i="16"/>
  <c r="S10" i="16" s="1"/>
  <c r="S11" i="16" s="1"/>
  <c r="S12" i="16" s="1"/>
  <c r="S13" i="16" s="1"/>
  <c r="S14" i="16" s="1"/>
  <c r="S15" i="16" s="1"/>
  <c r="S16" i="16" s="1"/>
  <c r="S17" i="16" s="1"/>
  <c r="S18" i="16" s="1"/>
  <c r="S19" i="16" s="1"/>
  <c r="S20" i="16" s="1"/>
  <c r="S21" i="16" s="1"/>
  <c r="S22" i="16" s="1"/>
  <c r="S23" i="16" s="1"/>
  <c r="S24" i="16" s="1"/>
  <c r="S25" i="16" s="1"/>
  <c r="S26" i="16" s="1"/>
  <c r="S27" i="16" s="1"/>
  <c r="S28" i="16" s="1"/>
  <c r="U9" i="16"/>
  <c r="AB35" i="16"/>
  <c r="Z35" i="16"/>
  <c r="Z36" i="16" s="1"/>
  <c r="Z37" i="16" s="1"/>
  <c r="Z38" i="16" s="1"/>
  <c r="Z39" i="16" s="1"/>
  <c r="Z40" i="16" s="1"/>
  <c r="Z41" i="16" s="1"/>
  <c r="Z42" i="16" s="1"/>
  <c r="Z43" i="16" s="1"/>
  <c r="Z44" i="16" s="1"/>
  <c r="Z45" i="16" s="1"/>
  <c r="Z46" i="16" s="1"/>
  <c r="Z47" i="16" s="1"/>
  <c r="Z48" i="16" s="1"/>
  <c r="Z49" i="16" s="1"/>
  <c r="Z50" i="16" s="1"/>
  <c r="Z51" i="16" s="1"/>
  <c r="Z52" i="16" s="1"/>
  <c r="Z53" i="16" s="1"/>
  <c r="Z54" i="16" s="1"/>
  <c r="Z55" i="16" s="1"/>
  <c r="Z56" i="16" s="1"/>
  <c r="Z57" i="16" s="1"/>
  <c r="Z58" i="16" s="1"/>
  <c r="Z59" i="16" s="1"/>
  <c r="Z60" i="16" s="1"/>
  <c r="Z61" i="16" s="1"/>
  <c r="Z62" i="16" s="1"/>
  <c r="Z63" i="16" s="1"/>
  <c r="Z64" i="16" s="1"/>
  <c r="Z65" i="16" s="1"/>
  <c r="Z66" i="16" s="1"/>
  <c r="Z67" i="16" s="1"/>
  <c r="Z68" i="16" s="1"/>
  <c r="Z69" i="16" s="1"/>
  <c r="Z70" i="16" s="1"/>
  <c r="Z71" i="16" s="1"/>
  <c r="Z72" i="16" s="1"/>
  <c r="Z73" i="16" s="1"/>
  <c r="Z74" i="16" s="1"/>
  <c r="Z75" i="16" s="1"/>
  <c r="Z76" i="16" s="1"/>
  <c r="Z77" i="16" s="1"/>
  <c r="Z78" i="16" s="1"/>
  <c r="Z79" i="16" s="1"/>
  <c r="Z80" i="16" s="1"/>
  <c r="Z81" i="16" s="1"/>
  <c r="Z82" i="16" s="1"/>
  <c r="Z83" i="16" s="1"/>
  <c r="Z84" i="16" s="1"/>
  <c r="Z85" i="16" s="1"/>
  <c r="Z86" i="16" s="1"/>
  <c r="Z87" i="16" s="1"/>
  <c r="Z88" i="16" s="1"/>
  <c r="Z89" i="16" s="1"/>
  <c r="Z90" i="16" s="1"/>
  <c r="Z91" i="16" s="1"/>
  <c r="Z92" i="16" s="1"/>
  <c r="Z93" i="16" s="1"/>
  <c r="Z94" i="16" s="1"/>
  <c r="Z95" i="16" s="1"/>
  <c r="Z96" i="16" s="1"/>
  <c r="Z97" i="16" s="1"/>
  <c r="Z98" i="16" s="1"/>
  <c r="Z99" i="16" s="1"/>
  <c r="Z100" i="16" s="1"/>
  <c r="Z101" i="16" s="1"/>
  <c r="Z102" i="16" s="1"/>
  <c r="Z103" i="16" s="1"/>
  <c r="Z104" i="16" s="1"/>
  <c r="Z105" i="16" s="1"/>
  <c r="Z106" i="16" s="1"/>
  <c r="Z107" i="16" s="1"/>
  <c r="Z108" i="16" s="1"/>
  <c r="Z109" i="16" s="1"/>
  <c r="Z110" i="16" s="1"/>
  <c r="Z111" i="16" s="1"/>
  <c r="Z112" i="16" s="1"/>
  <c r="Z113" i="16" s="1"/>
  <c r="Z114" i="16" s="1"/>
  <c r="Z115" i="16" s="1"/>
  <c r="Z116" i="16" s="1"/>
  <c r="Z117" i="16" s="1"/>
  <c r="Z118" i="16" s="1"/>
  <c r="Z119" i="16" s="1"/>
  <c r="Z120" i="16" s="1"/>
  <c r="Z121" i="16" s="1"/>
  <c r="Z122" i="16" s="1"/>
  <c r="Z123" i="16" s="1"/>
  <c r="Z124" i="16" s="1"/>
  <c r="Z125" i="16" s="1"/>
  <c r="Z126" i="16" s="1"/>
  <c r="Z127" i="16" s="1"/>
  <c r="Z128" i="16" s="1"/>
  <c r="Z129" i="16" s="1"/>
  <c r="Z130" i="16" s="1"/>
  <c r="Z131" i="16" s="1"/>
  <c r="Z132" i="16" s="1"/>
  <c r="Z133" i="16" s="1"/>
  <c r="Z134" i="16" s="1"/>
  <c r="Z9" i="16"/>
  <c r="Z10" i="16" s="1"/>
  <c r="Z11" i="16" s="1"/>
  <c r="Z12" i="16" s="1"/>
  <c r="Z13" i="16" s="1"/>
  <c r="Z14" i="16" s="1"/>
  <c r="Z15" i="16" s="1"/>
  <c r="Z16" i="16" s="1"/>
  <c r="Z17" i="16" s="1"/>
  <c r="Z18" i="16" s="1"/>
  <c r="Z19" i="16" s="1"/>
  <c r="Z20" i="16" s="1"/>
  <c r="Z21" i="16" s="1"/>
  <c r="Z22" i="16" s="1"/>
  <c r="Z23" i="16" s="1"/>
  <c r="Z24" i="16" s="1"/>
  <c r="Z25" i="16" s="1"/>
  <c r="Z26" i="16" s="1"/>
  <c r="Z27" i="16" s="1"/>
  <c r="Z28" i="16" s="1"/>
  <c r="A47" i="14"/>
  <c r="A39" i="14"/>
  <c r="A32" i="14"/>
  <c r="A24" i="14"/>
  <c r="A17" i="14"/>
  <c r="A47" i="7"/>
  <c r="A39" i="7"/>
  <c r="A32" i="7"/>
  <c r="A24" i="7"/>
  <c r="A17" i="7"/>
  <c r="C5" i="7"/>
  <c r="C5" i="14"/>
  <c r="P3" i="13"/>
  <c r="K9" i="13"/>
  <c r="U36" i="16" l="1"/>
  <c r="V35" i="16"/>
  <c r="AB36" i="16"/>
  <c r="AC35" i="16"/>
  <c r="AB10" i="16"/>
  <c r="AC9" i="16"/>
  <c r="U142" i="16"/>
  <c r="V141" i="16"/>
  <c r="U10" i="16"/>
  <c r="V9" i="16"/>
  <c r="D5" i="7"/>
  <c r="D5" i="14"/>
  <c r="E5" i="14" s="1"/>
  <c r="F5" i="14" s="1"/>
  <c r="G5" i="14" s="1"/>
  <c r="H5" i="14" s="1"/>
  <c r="I5" i="14" s="1"/>
  <c r="J5" i="14" s="1"/>
  <c r="K5" i="14" s="1"/>
  <c r="L5" i="14" s="1"/>
  <c r="M5" i="14" s="1"/>
  <c r="N5" i="14" s="1"/>
  <c r="O5" i="14" s="1"/>
  <c r="P5" i="14" s="1"/>
  <c r="Q5" i="14" s="1"/>
  <c r="R5" i="14" s="1"/>
  <c r="S5" i="14" s="1"/>
  <c r="T5" i="14" s="1"/>
  <c r="U5" i="14" s="1"/>
  <c r="V5" i="14" s="1"/>
  <c r="W5" i="14" s="1"/>
  <c r="X5" i="14" s="1"/>
  <c r="C9" i="7"/>
  <c r="B24" i="7"/>
  <c r="C24" i="7" s="1"/>
  <c r="B25" i="7"/>
  <c r="C25" i="7" s="1"/>
  <c r="B26" i="7"/>
  <c r="C26" i="7" s="1"/>
  <c r="B27" i="7"/>
  <c r="C27" i="7" s="1"/>
  <c r="B28" i="7"/>
  <c r="C28" i="7" s="1"/>
  <c r="C8" i="7"/>
  <c r="B17" i="7"/>
  <c r="C17" i="7" s="1"/>
  <c r="B18" i="7"/>
  <c r="C18" i="7" s="1"/>
  <c r="B19" i="7"/>
  <c r="C19" i="7" s="1"/>
  <c r="B20" i="7"/>
  <c r="C20" i="7" s="1"/>
  <c r="B21" i="7"/>
  <c r="C21" i="7" s="1"/>
  <c r="C11" i="7"/>
  <c r="D11" i="7" s="1"/>
  <c r="B32" i="7"/>
  <c r="C32" i="7" s="1"/>
  <c r="B33" i="7"/>
  <c r="C33" i="7" s="1"/>
  <c r="B34" i="7"/>
  <c r="C34" i="7" s="1"/>
  <c r="B35" i="7"/>
  <c r="C35" i="7" s="1"/>
  <c r="B36" i="7"/>
  <c r="C36" i="7" s="1"/>
  <c r="C12" i="7"/>
  <c r="B39" i="7"/>
  <c r="C39" i="7" s="1"/>
  <c r="B40" i="7"/>
  <c r="C40" i="7" s="1"/>
  <c r="B41" i="7"/>
  <c r="C41" i="7" s="1"/>
  <c r="B42" i="7"/>
  <c r="C42" i="7" s="1"/>
  <c r="B43" i="7"/>
  <c r="C43" i="7" s="1"/>
  <c r="C14" i="7"/>
  <c r="B47" i="7"/>
  <c r="C47" i="7" s="1"/>
  <c r="B48" i="7"/>
  <c r="C48" i="7" s="1"/>
  <c r="B49" i="7"/>
  <c r="C49" i="7" s="1"/>
  <c r="B50" i="7"/>
  <c r="C50" i="7" s="1"/>
  <c r="B51" i="7"/>
  <c r="C51" i="7" s="1"/>
  <c r="B62" i="7"/>
  <c r="B63" i="7"/>
  <c r="B64" i="7"/>
  <c r="B66" i="7"/>
  <c r="B91" i="7"/>
  <c r="B91" i="14"/>
  <c r="C9" i="14"/>
  <c r="B32" i="14"/>
  <c r="C32" i="14" s="1"/>
  <c r="B33" i="14"/>
  <c r="C33" i="14" s="1"/>
  <c r="B34" i="14"/>
  <c r="C34" i="14" s="1"/>
  <c r="B35" i="14"/>
  <c r="C35" i="14" s="1"/>
  <c r="B36" i="14"/>
  <c r="C36" i="14" s="1"/>
  <c r="C8" i="14"/>
  <c r="B17" i="14"/>
  <c r="C17" i="14" s="1"/>
  <c r="B18" i="14"/>
  <c r="C18" i="14" s="1"/>
  <c r="B19" i="14"/>
  <c r="C19" i="14" s="1"/>
  <c r="B20" i="14"/>
  <c r="C20" i="14" s="1"/>
  <c r="B21" i="14"/>
  <c r="C21" i="14" s="1"/>
  <c r="C11" i="14"/>
  <c r="D35" i="14" s="1"/>
  <c r="C12" i="14"/>
  <c r="D42" i="14" s="1"/>
  <c r="B39" i="14"/>
  <c r="C39" i="14" s="1"/>
  <c r="B40" i="14"/>
  <c r="C40" i="14" s="1"/>
  <c r="B41" i="14"/>
  <c r="B42" i="14"/>
  <c r="B43" i="14"/>
  <c r="C14" i="14"/>
  <c r="B47" i="14"/>
  <c r="C47" i="14" s="1"/>
  <c r="B48" i="14"/>
  <c r="C48" i="14" s="1"/>
  <c r="B49" i="14"/>
  <c r="C49" i="14" s="1"/>
  <c r="B50" i="14"/>
  <c r="C50" i="14" s="1"/>
  <c r="B51" i="14"/>
  <c r="C51" i="14" s="1"/>
  <c r="B62" i="14"/>
  <c r="B63" i="14"/>
  <c r="D14" i="14"/>
  <c r="B64" i="14"/>
  <c r="B66" i="14"/>
  <c r="B69" i="14"/>
  <c r="B69" i="7"/>
  <c r="D81" i="7" s="1"/>
  <c r="T7" i="10"/>
  <c r="T3" i="10"/>
  <c r="C111" i="11"/>
  <c r="D111" i="11"/>
  <c r="E111" i="11"/>
  <c r="F111" i="11"/>
  <c r="G111" i="11"/>
  <c r="H111" i="11"/>
  <c r="I111" i="11"/>
  <c r="J111" i="11"/>
  <c r="K111" i="11"/>
  <c r="L111" i="11"/>
  <c r="M111" i="11"/>
  <c r="N111" i="11"/>
  <c r="O111" i="11"/>
  <c r="P111" i="11"/>
  <c r="Q111" i="11"/>
  <c r="R111" i="11"/>
  <c r="S111" i="11"/>
  <c r="T111" i="11"/>
  <c r="U111" i="11"/>
  <c r="V111" i="11"/>
  <c r="B111" i="11"/>
  <c r="B33" i="10"/>
  <c r="B32" i="10"/>
  <c r="B31" i="10"/>
  <c r="B30" i="10"/>
  <c r="J22" i="10"/>
  <c r="A43" i="14" s="1"/>
  <c r="J21" i="10"/>
  <c r="J20" i="10"/>
  <c r="J19" i="10"/>
  <c r="B22" i="10"/>
  <c r="B21" i="10"/>
  <c r="B20" i="10"/>
  <c r="B19" i="10"/>
  <c r="J14" i="10"/>
  <c r="A36" i="14" s="1"/>
  <c r="J13" i="10"/>
  <c r="J12" i="10"/>
  <c r="J11" i="10"/>
  <c r="B13" i="10"/>
  <c r="B11" i="10"/>
  <c r="B12" i="10"/>
  <c r="B14" i="10"/>
  <c r="B37" i="13"/>
  <c r="B30" i="13"/>
  <c r="B24" i="13"/>
  <c r="B17" i="13"/>
  <c r="B11" i="13"/>
  <c r="A10" i="13"/>
  <c r="C71" i="14"/>
  <c r="C86" i="14" s="1"/>
  <c r="C85" i="14" s="1"/>
  <c r="B28" i="14"/>
  <c r="C28" i="14" s="1"/>
  <c r="B27" i="14"/>
  <c r="C27" i="14" s="1"/>
  <c r="B26" i="14"/>
  <c r="C26" i="14" s="1"/>
  <c r="B25" i="14"/>
  <c r="C25" i="14" s="1"/>
  <c r="B24" i="14"/>
  <c r="C24" i="14" s="1"/>
  <c r="N25" i="10"/>
  <c r="F36" i="10"/>
  <c r="F25" i="10"/>
  <c r="G6" i="10"/>
  <c r="N6" i="10"/>
  <c r="N36" i="10" s="1"/>
  <c r="B110" i="11"/>
  <c r="D48" i="14" l="1"/>
  <c r="D49" i="14"/>
  <c r="E49" i="14" s="1"/>
  <c r="D50" i="14"/>
  <c r="D51" i="14"/>
  <c r="D19" i="14"/>
  <c r="D20" i="14"/>
  <c r="D28" i="14"/>
  <c r="D26" i="14"/>
  <c r="D27" i="14"/>
  <c r="C58" i="7"/>
  <c r="C59" i="14"/>
  <c r="D47" i="14"/>
  <c r="C59" i="7"/>
  <c r="C56" i="7"/>
  <c r="C55" i="7"/>
  <c r="C57" i="14"/>
  <c r="C56" i="14"/>
  <c r="D24" i="14"/>
  <c r="D75" i="14"/>
  <c r="E75" i="14" s="1"/>
  <c r="F75" i="14" s="1"/>
  <c r="G75" i="14" s="1"/>
  <c r="H75" i="14" s="1"/>
  <c r="I75" i="14" s="1"/>
  <c r="J75" i="14" s="1"/>
  <c r="K75" i="14" s="1"/>
  <c r="L75" i="14" s="1"/>
  <c r="M75" i="14" s="1"/>
  <c r="N75" i="14" s="1"/>
  <c r="O75" i="14" s="1"/>
  <c r="P75" i="14" s="1"/>
  <c r="Q75" i="14" s="1"/>
  <c r="R75" i="14" s="1"/>
  <c r="S75" i="14" s="1"/>
  <c r="T75" i="14" s="1"/>
  <c r="U75" i="14" s="1"/>
  <c r="V75" i="14" s="1"/>
  <c r="W75" i="14" s="1"/>
  <c r="D74" i="14"/>
  <c r="E74" i="14" s="1"/>
  <c r="F74" i="14" s="1"/>
  <c r="G74" i="14" s="1"/>
  <c r="H74" i="14" s="1"/>
  <c r="I74" i="14" s="1"/>
  <c r="J74" i="14" s="1"/>
  <c r="K74" i="14" s="1"/>
  <c r="L74" i="14" s="1"/>
  <c r="M74" i="14" s="1"/>
  <c r="N74" i="14" s="1"/>
  <c r="O74" i="14" s="1"/>
  <c r="P74" i="14" s="1"/>
  <c r="Q74" i="14" s="1"/>
  <c r="R74" i="14" s="1"/>
  <c r="S74" i="14" s="1"/>
  <c r="T74" i="14" s="1"/>
  <c r="U74" i="14" s="1"/>
  <c r="V74" i="14" s="1"/>
  <c r="W74" i="14" s="1"/>
  <c r="D79" i="14"/>
  <c r="E79" i="14" s="1"/>
  <c r="F79" i="14" s="1"/>
  <c r="G79" i="14" s="1"/>
  <c r="H79" i="14" s="1"/>
  <c r="I79" i="14" s="1"/>
  <c r="J79" i="14" s="1"/>
  <c r="K79" i="14" s="1"/>
  <c r="L79" i="14" s="1"/>
  <c r="M79" i="14" s="1"/>
  <c r="N79" i="14" s="1"/>
  <c r="O79" i="14" s="1"/>
  <c r="P79" i="14" s="1"/>
  <c r="Q79" i="14" s="1"/>
  <c r="R79" i="14" s="1"/>
  <c r="S79" i="14" s="1"/>
  <c r="T79" i="14" s="1"/>
  <c r="U79" i="14" s="1"/>
  <c r="V79" i="14" s="1"/>
  <c r="W79" i="14" s="1"/>
  <c r="D80" i="14"/>
  <c r="E80" i="14" s="1"/>
  <c r="F80" i="14" s="1"/>
  <c r="G80" i="14" s="1"/>
  <c r="H80" i="14" s="1"/>
  <c r="I80" i="14" s="1"/>
  <c r="J80" i="14" s="1"/>
  <c r="K80" i="14" s="1"/>
  <c r="L80" i="14" s="1"/>
  <c r="M80" i="14" s="1"/>
  <c r="N80" i="14" s="1"/>
  <c r="O80" i="14" s="1"/>
  <c r="P80" i="14" s="1"/>
  <c r="Q80" i="14" s="1"/>
  <c r="R80" i="14" s="1"/>
  <c r="S80" i="14" s="1"/>
  <c r="T80" i="14" s="1"/>
  <c r="U80" i="14" s="1"/>
  <c r="V80" i="14" s="1"/>
  <c r="W80" i="14" s="1"/>
  <c r="D72" i="14"/>
  <c r="E72" i="14" s="1"/>
  <c r="F72" i="14" s="1"/>
  <c r="G72" i="14" s="1"/>
  <c r="H72" i="14" s="1"/>
  <c r="I72" i="14" s="1"/>
  <c r="J72" i="14" s="1"/>
  <c r="K72" i="14" s="1"/>
  <c r="L72" i="14" s="1"/>
  <c r="M72" i="14" s="1"/>
  <c r="N72" i="14" s="1"/>
  <c r="O72" i="14" s="1"/>
  <c r="P72" i="14" s="1"/>
  <c r="Q72" i="14" s="1"/>
  <c r="R72" i="14" s="1"/>
  <c r="S72" i="14" s="1"/>
  <c r="T72" i="14" s="1"/>
  <c r="U72" i="14" s="1"/>
  <c r="V72" i="14" s="1"/>
  <c r="W72" i="14" s="1"/>
  <c r="D78" i="14"/>
  <c r="E78" i="14" s="1"/>
  <c r="F78" i="14" s="1"/>
  <c r="G78" i="14" s="1"/>
  <c r="H78" i="14" s="1"/>
  <c r="I78" i="14" s="1"/>
  <c r="J78" i="14" s="1"/>
  <c r="K78" i="14" s="1"/>
  <c r="L78" i="14" s="1"/>
  <c r="M78" i="14" s="1"/>
  <c r="N78" i="14" s="1"/>
  <c r="O78" i="14" s="1"/>
  <c r="P78" i="14" s="1"/>
  <c r="Q78" i="14" s="1"/>
  <c r="R78" i="14" s="1"/>
  <c r="S78" i="14" s="1"/>
  <c r="T78" i="14" s="1"/>
  <c r="U78" i="14" s="1"/>
  <c r="V78" i="14" s="1"/>
  <c r="W78" i="14" s="1"/>
  <c r="D73" i="14"/>
  <c r="E73" i="14" s="1"/>
  <c r="F73" i="14" s="1"/>
  <c r="G73" i="14" s="1"/>
  <c r="H73" i="14" s="1"/>
  <c r="I73" i="14" s="1"/>
  <c r="J73" i="14" s="1"/>
  <c r="K73" i="14" s="1"/>
  <c r="L73" i="14" s="1"/>
  <c r="M73" i="14" s="1"/>
  <c r="N73" i="14" s="1"/>
  <c r="O73" i="14" s="1"/>
  <c r="P73" i="14" s="1"/>
  <c r="Q73" i="14" s="1"/>
  <c r="R73" i="14" s="1"/>
  <c r="S73" i="14" s="1"/>
  <c r="T73" i="14" s="1"/>
  <c r="U73" i="14" s="1"/>
  <c r="V73" i="14" s="1"/>
  <c r="W73" i="14" s="1"/>
  <c r="D77" i="14"/>
  <c r="E77" i="14" s="1"/>
  <c r="F77" i="14" s="1"/>
  <c r="G77" i="14" s="1"/>
  <c r="H77" i="14" s="1"/>
  <c r="I77" i="14" s="1"/>
  <c r="J77" i="14" s="1"/>
  <c r="K77" i="14" s="1"/>
  <c r="L77" i="14" s="1"/>
  <c r="M77" i="14" s="1"/>
  <c r="N77" i="14" s="1"/>
  <c r="O77" i="14" s="1"/>
  <c r="P77" i="14" s="1"/>
  <c r="Q77" i="14" s="1"/>
  <c r="R77" i="14" s="1"/>
  <c r="S77" i="14" s="1"/>
  <c r="T77" i="14" s="1"/>
  <c r="U77" i="14" s="1"/>
  <c r="V77" i="14" s="1"/>
  <c r="W77" i="14" s="1"/>
  <c r="D81" i="14"/>
  <c r="E81" i="14" s="1"/>
  <c r="F81" i="14" s="1"/>
  <c r="G81" i="14" s="1"/>
  <c r="H81" i="14" s="1"/>
  <c r="I81" i="14" s="1"/>
  <c r="J81" i="14" s="1"/>
  <c r="K81" i="14" s="1"/>
  <c r="L81" i="14" s="1"/>
  <c r="M81" i="14" s="1"/>
  <c r="N81" i="14" s="1"/>
  <c r="O81" i="14" s="1"/>
  <c r="P81" i="14" s="1"/>
  <c r="Q81" i="14" s="1"/>
  <c r="R81" i="14" s="1"/>
  <c r="S81" i="14" s="1"/>
  <c r="T81" i="14" s="1"/>
  <c r="U81" i="14" s="1"/>
  <c r="V81" i="14" s="1"/>
  <c r="W81" i="14" s="1"/>
  <c r="D76" i="14"/>
  <c r="E76" i="14" s="1"/>
  <c r="F76" i="14" s="1"/>
  <c r="G76" i="14" s="1"/>
  <c r="H76" i="14" s="1"/>
  <c r="I76" i="14" s="1"/>
  <c r="J76" i="14" s="1"/>
  <c r="K76" i="14" s="1"/>
  <c r="L76" i="14" s="1"/>
  <c r="M76" i="14" s="1"/>
  <c r="N76" i="14" s="1"/>
  <c r="O76" i="14" s="1"/>
  <c r="P76" i="14" s="1"/>
  <c r="Q76" i="14" s="1"/>
  <c r="R76" i="14" s="1"/>
  <c r="S76" i="14" s="1"/>
  <c r="T76" i="14" s="1"/>
  <c r="U76" i="14" s="1"/>
  <c r="V76" i="14" s="1"/>
  <c r="W76" i="14" s="1"/>
  <c r="C57" i="7"/>
  <c r="C55" i="14"/>
  <c r="D34" i="7"/>
  <c r="D32" i="7"/>
  <c r="D33" i="7"/>
  <c r="D35" i="7"/>
  <c r="D36" i="7"/>
  <c r="A43" i="7"/>
  <c r="G36" i="10"/>
  <c r="G35" i="13"/>
  <c r="G41" i="13"/>
  <c r="G38" i="13"/>
  <c r="U138" i="16"/>
  <c r="U6" i="16"/>
  <c r="AB6" i="16"/>
  <c r="U32" i="16"/>
  <c r="AB32" i="16"/>
  <c r="A51" i="14"/>
  <c r="U37" i="16"/>
  <c r="V36" i="16"/>
  <c r="AB37" i="16"/>
  <c r="AC36" i="16"/>
  <c r="AB11" i="16"/>
  <c r="AC10" i="16"/>
  <c r="U143" i="16"/>
  <c r="V142" i="16"/>
  <c r="U11" i="16"/>
  <c r="V10" i="16"/>
  <c r="A25" i="14"/>
  <c r="A25" i="7"/>
  <c r="A18" i="7"/>
  <c r="A18" i="14"/>
  <c r="A26" i="14"/>
  <c r="A26" i="7"/>
  <c r="A27" i="14"/>
  <c r="A27" i="7"/>
  <c r="A28" i="14"/>
  <c r="A28" i="7"/>
  <c r="A20" i="7"/>
  <c r="A20" i="14"/>
  <c r="A19" i="7"/>
  <c r="A19" i="14"/>
  <c r="A21" i="14"/>
  <c r="A21" i="7"/>
  <c r="D73" i="7"/>
  <c r="E73" i="7" s="1"/>
  <c r="F73" i="7" s="1"/>
  <c r="G73" i="7" s="1"/>
  <c r="H73" i="7" s="1"/>
  <c r="I73" i="7" s="1"/>
  <c r="J73" i="7" s="1"/>
  <c r="K73" i="7" s="1"/>
  <c r="L73" i="7" s="1"/>
  <c r="M73" i="7" s="1"/>
  <c r="N73" i="7" s="1"/>
  <c r="O73" i="7" s="1"/>
  <c r="P73" i="7" s="1"/>
  <c r="Q73" i="7" s="1"/>
  <c r="R73" i="7" s="1"/>
  <c r="S73" i="7" s="1"/>
  <c r="T73" i="7" s="1"/>
  <c r="U73" i="7" s="1"/>
  <c r="V73" i="7" s="1"/>
  <c r="W73" i="7" s="1"/>
  <c r="D80" i="7"/>
  <c r="E80" i="7" s="1"/>
  <c r="F80" i="7" s="1"/>
  <c r="G80" i="7" s="1"/>
  <c r="H80" i="7" s="1"/>
  <c r="I80" i="7" s="1"/>
  <c r="J80" i="7" s="1"/>
  <c r="K80" i="7" s="1"/>
  <c r="L80" i="7" s="1"/>
  <c r="M80" i="7" s="1"/>
  <c r="N80" i="7" s="1"/>
  <c r="O80" i="7" s="1"/>
  <c r="P80" i="7" s="1"/>
  <c r="Q80" i="7" s="1"/>
  <c r="R80" i="7" s="1"/>
  <c r="S80" i="7" s="1"/>
  <c r="T80" i="7" s="1"/>
  <c r="U80" i="7" s="1"/>
  <c r="V80" i="7" s="1"/>
  <c r="W80" i="7" s="1"/>
  <c r="D72" i="7"/>
  <c r="E72" i="7" s="1"/>
  <c r="F72" i="7" s="1"/>
  <c r="G72" i="7" s="1"/>
  <c r="H72" i="7" s="1"/>
  <c r="I72" i="7" s="1"/>
  <c r="J72" i="7" s="1"/>
  <c r="K72" i="7" s="1"/>
  <c r="L72" i="7" s="1"/>
  <c r="M72" i="7" s="1"/>
  <c r="N72" i="7" s="1"/>
  <c r="O72" i="7" s="1"/>
  <c r="P72" i="7" s="1"/>
  <c r="Q72" i="7" s="1"/>
  <c r="R72" i="7" s="1"/>
  <c r="S72" i="7" s="1"/>
  <c r="T72" i="7" s="1"/>
  <c r="U72" i="7" s="1"/>
  <c r="V72" i="7" s="1"/>
  <c r="W72" i="7" s="1"/>
  <c r="D79" i="7"/>
  <c r="E79" i="7" s="1"/>
  <c r="F79" i="7" s="1"/>
  <c r="G79" i="7" s="1"/>
  <c r="H79" i="7" s="1"/>
  <c r="I79" i="7" s="1"/>
  <c r="J79" i="7" s="1"/>
  <c r="K79" i="7" s="1"/>
  <c r="L79" i="7" s="1"/>
  <c r="M79" i="7" s="1"/>
  <c r="N79" i="7" s="1"/>
  <c r="O79" i="7" s="1"/>
  <c r="P79" i="7" s="1"/>
  <c r="Q79" i="7" s="1"/>
  <c r="R79" i="7" s="1"/>
  <c r="S79" i="7" s="1"/>
  <c r="T79" i="7" s="1"/>
  <c r="U79" i="7" s="1"/>
  <c r="V79" i="7" s="1"/>
  <c r="W79" i="7" s="1"/>
  <c r="D71" i="7"/>
  <c r="E71" i="7" s="1"/>
  <c r="F71" i="7" s="1"/>
  <c r="G71" i="7" s="1"/>
  <c r="H71" i="7" s="1"/>
  <c r="I71" i="7" s="1"/>
  <c r="J71" i="7" s="1"/>
  <c r="K71" i="7" s="1"/>
  <c r="L71" i="7" s="1"/>
  <c r="M71" i="7" s="1"/>
  <c r="N71" i="7" s="1"/>
  <c r="O71" i="7" s="1"/>
  <c r="P71" i="7" s="1"/>
  <c r="Q71" i="7" s="1"/>
  <c r="R71" i="7" s="1"/>
  <c r="S71" i="7" s="1"/>
  <c r="T71" i="7" s="1"/>
  <c r="U71" i="7" s="1"/>
  <c r="V71" i="7" s="1"/>
  <c r="W71" i="7" s="1"/>
  <c r="D78" i="7"/>
  <c r="E78" i="7" s="1"/>
  <c r="F78" i="7" s="1"/>
  <c r="G78" i="7" s="1"/>
  <c r="H78" i="7" s="1"/>
  <c r="I78" i="7" s="1"/>
  <c r="J78" i="7" s="1"/>
  <c r="K78" i="7" s="1"/>
  <c r="L78" i="7" s="1"/>
  <c r="M78" i="7" s="1"/>
  <c r="N78" i="7" s="1"/>
  <c r="O78" i="7" s="1"/>
  <c r="P78" i="7" s="1"/>
  <c r="Q78" i="7" s="1"/>
  <c r="R78" i="7" s="1"/>
  <c r="S78" i="7" s="1"/>
  <c r="T78" i="7" s="1"/>
  <c r="U78" i="7" s="1"/>
  <c r="V78" i="7" s="1"/>
  <c r="W78" i="7" s="1"/>
  <c r="D77" i="7"/>
  <c r="E77" i="7" s="1"/>
  <c r="F77" i="7" s="1"/>
  <c r="G77" i="7" s="1"/>
  <c r="H77" i="7" s="1"/>
  <c r="I77" i="7" s="1"/>
  <c r="J77" i="7" s="1"/>
  <c r="K77" i="7" s="1"/>
  <c r="L77" i="7" s="1"/>
  <c r="M77" i="7" s="1"/>
  <c r="N77" i="7" s="1"/>
  <c r="O77" i="7" s="1"/>
  <c r="P77" i="7" s="1"/>
  <c r="Q77" i="7" s="1"/>
  <c r="R77" i="7" s="1"/>
  <c r="S77" i="7" s="1"/>
  <c r="T77" i="7" s="1"/>
  <c r="U77" i="7" s="1"/>
  <c r="V77" i="7" s="1"/>
  <c r="W77" i="7" s="1"/>
  <c r="D76" i="7"/>
  <c r="E76" i="7" s="1"/>
  <c r="F76" i="7" s="1"/>
  <c r="G76" i="7" s="1"/>
  <c r="H76" i="7" s="1"/>
  <c r="I76" i="7" s="1"/>
  <c r="J76" i="7" s="1"/>
  <c r="K76" i="7" s="1"/>
  <c r="L76" i="7" s="1"/>
  <c r="M76" i="7" s="1"/>
  <c r="N76" i="7" s="1"/>
  <c r="O76" i="7" s="1"/>
  <c r="P76" i="7" s="1"/>
  <c r="Q76" i="7" s="1"/>
  <c r="R76" i="7" s="1"/>
  <c r="S76" i="7" s="1"/>
  <c r="T76" i="7" s="1"/>
  <c r="U76" i="7" s="1"/>
  <c r="V76" i="7" s="1"/>
  <c r="W76" i="7" s="1"/>
  <c r="D75" i="7"/>
  <c r="E75" i="7" s="1"/>
  <c r="F75" i="7" s="1"/>
  <c r="G75" i="7" s="1"/>
  <c r="H75" i="7" s="1"/>
  <c r="I75" i="7" s="1"/>
  <c r="J75" i="7" s="1"/>
  <c r="K75" i="7" s="1"/>
  <c r="L75" i="7" s="1"/>
  <c r="M75" i="7" s="1"/>
  <c r="N75" i="7" s="1"/>
  <c r="O75" i="7" s="1"/>
  <c r="P75" i="7" s="1"/>
  <c r="Q75" i="7" s="1"/>
  <c r="R75" i="7" s="1"/>
  <c r="S75" i="7" s="1"/>
  <c r="T75" i="7" s="1"/>
  <c r="U75" i="7" s="1"/>
  <c r="V75" i="7" s="1"/>
  <c r="W75" i="7" s="1"/>
  <c r="D74" i="7"/>
  <c r="E74" i="7" s="1"/>
  <c r="F74" i="7" s="1"/>
  <c r="G74" i="7" s="1"/>
  <c r="H74" i="7" s="1"/>
  <c r="I74" i="7" s="1"/>
  <c r="J74" i="7" s="1"/>
  <c r="K74" i="7" s="1"/>
  <c r="L74" i="7" s="1"/>
  <c r="M74" i="7" s="1"/>
  <c r="N74" i="7" s="1"/>
  <c r="O74" i="7" s="1"/>
  <c r="P74" i="7" s="1"/>
  <c r="Q74" i="7" s="1"/>
  <c r="R74" i="7" s="1"/>
  <c r="S74" i="7" s="1"/>
  <c r="T74" i="7" s="1"/>
  <c r="U74" i="7" s="1"/>
  <c r="V74" i="7" s="1"/>
  <c r="W74" i="7" s="1"/>
  <c r="A40" i="7"/>
  <c r="A40" i="14"/>
  <c r="A41" i="7"/>
  <c r="A41" i="14"/>
  <c r="A42" i="7"/>
  <c r="A42" i="14"/>
  <c r="A35" i="7"/>
  <c r="A35" i="14"/>
  <c r="A34" i="14"/>
  <c r="A34" i="7"/>
  <c r="A33" i="7"/>
  <c r="A33" i="14"/>
  <c r="A36" i="7"/>
  <c r="C29" i="14"/>
  <c r="C62" i="14"/>
  <c r="C37" i="14"/>
  <c r="C22" i="14"/>
  <c r="D71" i="14"/>
  <c r="C52" i="14"/>
  <c r="C43" i="14"/>
  <c r="E14" i="14"/>
  <c r="D64" i="14"/>
  <c r="C64" i="14"/>
  <c r="C63" i="14"/>
  <c r="C41" i="14"/>
  <c r="D8" i="14"/>
  <c r="D21" i="14" s="1"/>
  <c r="C42" i="14"/>
  <c r="D9" i="14"/>
  <c r="D25" i="14" s="1"/>
  <c r="D12" i="14"/>
  <c r="A50" i="14"/>
  <c r="A50" i="7"/>
  <c r="A49" i="7"/>
  <c r="A49" i="14"/>
  <c r="A51" i="7"/>
  <c r="A48" i="14"/>
  <c r="A48" i="7"/>
  <c r="D9" i="7"/>
  <c r="C62" i="7"/>
  <c r="E11" i="7"/>
  <c r="D14" i="7"/>
  <c r="C64" i="7"/>
  <c r="D12" i="7"/>
  <c r="C22" i="7"/>
  <c r="C63" i="7"/>
  <c r="G25" i="10"/>
  <c r="O6" i="10"/>
  <c r="D11" i="14"/>
  <c r="D36" i="14" s="1"/>
  <c r="C52" i="7"/>
  <c r="C44" i="7"/>
  <c r="C37" i="7"/>
  <c r="C29" i="7"/>
  <c r="E5" i="7"/>
  <c r="C110" i="11"/>
  <c r="D8" i="7"/>
  <c r="D62" i="14" l="1"/>
  <c r="D41" i="14"/>
  <c r="D39" i="14"/>
  <c r="E48" i="14"/>
  <c r="D17" i="14"/>
  <c r="E51" i="14"/>
  <c r="F49" i="14"/>
  <c r="F48" i="14"/>
  <c r="D43" i="14"/>
  <c r="D32" i="14"/>
  <c r="D33" i="14"/>
  <c r="D34" i="14"/>
  <c r="D18" i="14"/>
  <c r="E50" i="14"/>
  <c r="F50" i="14" s="1"/>
  <c r="D40" i="14"/>
  <c r="E35" i="7"/>
  <c r="E33" i="7"/>
  <c r="E36" i="7"/>
  <c r="E34" i="7"/>
  <c r="D57" i="7"/>
  <c r="D59" i="14"/>
  <c r="E47" i="14"/>
  <c r="D55" i="14"/>
  <c r="C58" i="14"/>
  <c r="C60" i="14" s="1"/>
  <c r="C66" i="14" s="1"/>
  <c r="D56" i="14"/>
  <c r="D28" i="7"/>
  <c r="D25" i="7"/>
  <c r="D26" i="7"/>
  <c r="D27" i="7"/>
  <c r="D24" i="7"/>
  <c r="E32" i="7"/>
  <c r="D43" i="7"/>
  <c r="E43" i="7" s="1"/>
  <c r="D39" i="7"/>
  <c r="D40" i="7"/>
  <c r="D41" i="7"/>
  <c r="D42" i="7"/>
  <c r="E42" i="7" s="1"/>
  <c r="D48" i="7"/>
  <c r="D49" i="7"/>
  <c r="D47" i="7"/>
  <c r="D50" i="7"/>
  <c r="D51" i="7"/>
  <c r="D21" i="7"/>
  <c r="D19" i="7"/>
  <c r="D17" i="7"/>
  <c r="D18" i="7"/>
  <c r="D20" i="7"/>
  <c r="AB38" i="16"/>
  <c r="AC37" i="16"/>
  <c r="U38" i="16"/>
  <c r="V37" i="16"/>
  <c r="AB12" i="16"/>
  <c r="AC11" i="16"/>
  <c r="U144" i="16"/>
  <c r="V143" i="16"/>
  <c r="U12" i="16"/>
  <c r="V11" i="16"/>
  <c r="E71" i="14"/>
  <c r="D86" i="14"/>
  <c r="D85" i="14" s="1"/>
  <c r="E81" i="7"/>
  <c r="D86" i="7"/>
  <c r="D85" i="7" s="1"/>
  <c r="D62" i="7"/>
  <c r="E12" i="7"/>
  <c r="C44" i="14"/>
  <c r="E11" i="14"/>
  <c r="F11" i="14" s="1"/>
  <c r="G11" i="14" s="1"/>
  <c r="H11" i="14" s="1"/>
  <c r="I11" i="14" s="1"/>
  <c r="J11" i="14" s="1"/>
  <c r="K11" i="14" s="1"/>
  <c r="L11" i="14" s="1"/>
  <c r="M11" i="14" s="1"/>
  <c r="N11" i="14" s="1"/>
  <c r="O11" i="14" s="1"/>
  <c r="P11" i="14" s="1"/>
  <c r="Q11" i="14" s="1"/>
  <c r="R11" i="14" s="1"/>
  <c r="S11" i="14" s="1"/>
  <c r="T11" i="14" s="1"/>
  <c r="U11" i="14" s="1"/>
  <c r="V11" i="14" s="1"/>
  <c r="W11" i="14" s="1"/>
  <c r="X11" i="14" s="1"/>
  <c r="D52" i="14"/>
  <c r="E9" i="14"/>
  <c r="F9" i="14" s="1"/>
  <c r="G9" i="14" s="1"/>
  <c r="H9" i="14" s="1"/>
  <c r="I9" i="14" s="1"/>
  <c r="J9" i="14" s="1"/>
  <c r="K9" i="14" s="1"/>
  <c r="L9" i="14" s="1"/>
  <c r="M9" i="14" s="1"/>
  <c r="N9" i="14" s="1"/>
  <c r="O9" i="14" s="1"/>
  <c r="P9" i="14" s="1"/>
  <c r="Q9" i="14" s="1"/>
  <c r="R9" i="14" s="1"/>
  <c r="S9" i="14" s="1"/>
  <c r="T9" i="14" s="1"/>
  <c r="U9" i="14" s="1"/>
  <c r="V9" i="14" s="1"/>
  <c r="W9" i="14" s="1"/>
  <c r="X9" i="14" s="1"/>
  <c r="D63" i="14"/>
  <c r="E8" i="14"/>
  <c r="E21" i="14" s="1"/>
  <c r="F14" i="14"/>
  <c r="F51" i="14" s="1"/>
  <c r="E64" i="14"/>
  <c r="E12" i="14"/>
  <c r="E42" i="14" s="1"/>
  <c r="E9" i="7"/>
  <c r="D63" i="7"/>
  <c r="D64" i="7"/>
  <c r="E14" i="7"/>
  <c r="F11" i="7"/>
  <c r="F33" i="7" s="1"/>
  <c r="E8" i="7"/>
  <c r="F5" i="7"/>
  <c r="D110" i="11"/>
  <c r="D37" i="7"/>
  <c r="C60" i="7"/>
  <c r="E19" i="14" l="1"/>
  <c r="E18" i="14"/>
  <c r="E43" i="14"/>
  <c r="E40" i="14"/>
  <c r="E58" i="14" s="1"/>
  <c r="E41" i="14"/>
  <c r="E20" i="14"/>
  <c r="E34" i="14"/>
  <c r="F34" i="14" s="1"/>
  <c r="G34" i="14" s="1"/>
  <c r="H34" i="14" s="1"/>
  <c r="I34" i="14" s="1"/>
  <c r="J34" i="14" s="1"/>
  <c r="K34" i="14" s="1"/>
  <c r="L34" i="14" s="1"/>
  <c r="M34" i="14" s="1"/>
  <c r="N34" i="14" s="1"/>
  <c r="O34" i="14" s="1"/>
  <c r="P34" i="14" s="1"/>
  <c r="Q34" i="14" s="1"/>
  <c r="R34" i="14" s="1"/>
  <c r="S34" i="14" s="1"/>
  <c r="T34" i="14" s="1"/>
  <c r="U34" i="14" s="1"/>
  <c r="V34" i="14" s="1"/>
  <c r="W34" i="14" s="1"/>
  <c r="X34" i="14" s="1"/>
  <c r="E35" i="14"/>
  <c r="F35" i="14" s="1"/>
  <c r="G35" i="14" s="1"/>
  <c r="H35" i="14" s="1"/>
  <c r="I35" i="14" s="1"/>
  <c r="J35" i="14" s="1"/>
  <c r="K35" i="14" s="1"/>
  <c r="L35" i="14" s="1"/>
  <c r="M35" i="14" s="1"/>
  <c r="N35" i="14" s="1"/>
  <c r="O35" i="14" s="1"/>
  <c r="P35" i="14" s="1"/>
  <c r="Q35" i="14" s="1"/>
  <c r="R35" i="14" s="1"/>
  <c r="S35" i="14" s="1"/>
  <c r="T35" i="14" s="1"/>
  <c r="U35" i="14" s="1"/>
  <c r="V35" i="14" s="1"/>
  <c r="W35" i="14" s="1"/>
  <c r="X35" i="14" s="1"/>
  <c r="E25" i="14"/>
  <c r="F25" i="14" s="1"/>
  <c r="G25" i="14" s="1"/>
  <c r="H25" i="14" s="1"/>
  <c r="I25" i="14" s="1"/>
  <c r="J25" i="14" s="1"/>
  <c r="K25" i="14" s="1"/>
  <c r="L25" i="14" s="1"/>
  <c r="M25" i="14" s="1"/>
  <c r="N25" i="14" s="1"/>
  <c r="O25" i="14" s="1"/>
  <c r="P25" i="14" s="1"/>
  <c r="Q25" i="14" s="1"/>
  <c r="R25" i="14" s="1"/>
  <c r="S25" i="14" s="1"/>
  <c r="T25" i="14" s="1"/>
  <c r="U25" i="14" s="1"/>
  <c r="V25" i="14" s="1"/>
  <c r="W25" i="14" s="1"/>
  <c r="X25" i="14" s="1"/>
  <c r="E39" i="14"/>
  <c r="D57" i="14"/>
  <c r="E33" i="14"/>
  <c r="F33" i="14" s="1"/>
  <c r="G33" i="14" s="1"/>
  <c r="H33" i="14" s="1"/>
  <c r="I33" i="14" s="1"/>
  <c r="J33" i="14" s="1"/>
  <c r="K33" i="14" s="1"/>
  <c r="L33" i="14" s="1"/>
  <c r="M33" i="14" s="1"/>
  <c r="N33" i="14" s="1"/>
  <c r="O33" i="14" s="1"/>
  <c r="P33" i="14" s="1"/>
  <c r="Q33" i="14" s="1"/>
  <c r="R33" i="14" s="1"/>
  <c r="S33" i="14" s="1"/>
  <c r="T33" i="14" s="1"/>
  <c r="U33" i="14" s="1"/>
  <c r="V33" i="14" s="1"/>
  <c r="W33" i="14" s="1"/>
  <c r="X33" i="14" s="1"/>
  <c r="E36" i="14"/>
  <c r="F36" i="14" s="1"/>
  <c r="G36" i="14" s="1"/>
  <c r="H36" i="14" s="1"/>
  <c r="I36" i="14" s="1"/>
  <c r="J36" i="14" s="1"/>
  <c r="K36" i="14" s="1"/>
  <c r="L36" i="14" s="1"/>
  <c r="M36" i="14" s="1"/>
  <c r="N36" i="14" s="1"/>
  <c r="O36" i="14" s="1"/>
  <c r="P36" i="14" s="1"/>
  <c r="Q36" i="14" s="1"/>
  <c r="R36" i="14" s="1"/>
  <c r="S36" i="14" s="1"/>
  <c r="T36" i="14" s="1"/>
  <c r="U36" i="14" s="1"/>
  <c r="V36" i="14" s="1"/>
  <c r="W36" i="14" s="1"/>
  <c r="X36" i="14" s="1"/>
  <c r="E17" i="14"/>
  <c r="E28" i="14"/>
  <c r="F28" i="14" s="1"/>
  <c r="G28" i="14" s="1"/>
  <c r="H28" i="14" s="1"/>
  <c r="I28" i="14" s="1"/>
  <c r="J28" i="14" s="1"/>
  <c r="K28" i="14" s="1"/>
  <c r="L28" i="14" s="1"/>
  <c r="M28" i="14" s="1"/>
  <c r="N28" i="14" s="1"/>
  <c r="O28" i="14" s="1"/>
  <c r="P28" i="14" s="1"/>
  <c r="Q28" i="14" s="1"/>
  <c r="R28" i="14" s="1"/>
  <c r="S28" i="14" s="1"/>
  <c r="T28" i="14" s="1"/>
  <c r="U28" i="14" s="1"/>
  <c r="V28" i="14" s="1"/>
  <c r="W28" i="14" s="1"/>
  <c r="X28" i="14" s="1"/>
  <c r="E24" i="14"/>
  <c r="E26" i="14"/>
  <c r="F26" i="14" s="1"/>
  <c r="G26" i="14" s="1"/>
  <c r="H26" i="14" s="1"/>
  <c r="I26" i="14" s="1"/>
  <c r="J26" i="14" s="1"/>
  <c r="K26" i="14" s="1"/>
  <c r="L26" i="14" s="1"/>
  <c r="M26" i="14" s="1"/>
  <c r="N26" i="14" s="1"/>
  <c r="O26" i="14" s="1"/>
  <c r="P26" i="14" s="1"/>
  <c r="Q26" i="14" s="1"/>
  <c r="R26" i="14" s="1"/>
  <c r="S26" i="14" s="1"/>
  <c r="T26" i="14" s="1"/>
  <c r="U26" i="14" s="1"/>
  <c r="V26" i="14" s="1"/>
  <c r="W26" i="14" s="1"/>
  <c r="X26" i="14" s="1"/>
  <c r="E32" i="14"/>
  <c r="F32" i="14" s="1"/>
  <c r="D58" i="14"/>
  <c r="E27" i="14"/>
  <c r="F27" i="14" s="1"/>
  <c r="G27" i="14" s="1"/>
  <c r="H27" i="14" s="1"/>
  <c r="I27" i="14" s="1"/>
  <c r="J27" i="14" s="1"/>
  <c r="K27" i="14" s="1"/>
  <c r="L27" i="14" s="1"/>
  <c r="M27" i="14" s="1"/>
  <c r="N27" i="14" s="1"/>
  <c r="O27" i="14" s="1"/>
  <c r="P27" i="14" s="1"/>
  <c r="Q27" i="14" s="1"/>
  <c r="R27" i="14" s="1"/>
  <c r="S27" i="14" s="1"/>
  <c r="T27" i="14" s="1"/>
  <c r="U27" i="14" s="1"/>
  <c r="V27" i="14" s="1"/>
  <c r="W27" i="14" s="1"/>
  <c r="X27" i="14" s="1"/>
  <c r="E20" i="7"/>
  <c r="E51" i="7"/>
  <c r="E39" i="7"/>
  <c r="E58" i="7" s="1"/>
  <c r="E18" i="7"/>
  <c r="E17" i="7"/>
  <c r="F32" i="7"/>
  <c r="E19" i="7"/>
  <c r="F35" i="7"/>
  <c r="E41" i="7"/>
  <c r="E25" i="7"/>
  <c r="E57" i="7"/>
  <c r="E40" i="7"/>
  <c r="E28" i="7"/>
  <c r="E47" i="7"/>
  <c r="E21" i="7"/>
  <c r="E55" i="14"/>
  <c r="F24" i="14"/>
  <c r="D58" i="7"/>
  <c r="E59" i="14"/>
  <c r="F47" i="14"/>
  <c r="D59" i="7"/>
  <c r="E26" i="7"/>
  <c r="D56" i="7"/>
  <c r="E24" i="7"/>
  <c r="E50" i="7"/>
  <c r="E27" i="7"/>
  <c r="F14" i="7"/>
  <c r="G14" i="7" s="1"/>
  <c r="D55" i="7"/>
  <c r="E48" i="7"/>
  <c r="F9" i="7"/>
  <c r="E49" i="7"/>
  <c r="F12" i="7"/>
  <c r="F36" i="7"/>
  <c r="F34" i="7"/>
  <c r="U39" i="16"/>
  <c r="V38" i="16"/>
  <c r="AB39" i="16"/>
  <c r="AC38" i="16"/>
  <c r="E52" i="14"/>
  <c r="AB13" i="16"/>
  <c r="AC12" i="16"/>
  <c r="U145" i="16"/>
  <c r="V144" i="16"/>
  <c r="U13" i="16"/>
  <c r="V12" i="16"/>
  <c r="F71" i="14"/>
  <c r="E86" i="14"/>
  <c r="E85" i="14" s="1"/>
  <c r="F81" i="7"/>
  <c r="E86" i="7"/>
  <c r="E85" i="7" s="1"/>
  <c r="D52" i="7"/>
  <c r="D22" i="14"/>
  <c r="D29" i="14"/>
  <c r="D44" i="14"/>
  <c r="C66" i="7"/>
  <c r="C67" i="7" s="1"/>
  <c r="C88" i="7" s="1"/>
  <c r="C91" i="7" s="1"/>
  <c r="D37" i="14"/>
  <c r="D22" i="7"/>
  <c r="E62" i="14"/>
  <c r="F12" i="14"/>
  <c r="F42" i="14" s="1"/>
  <c r="G14" i="14"/>
  <c r="G51" i="14" s="1"/>
  <c r="F64" i="14"/>
  <c r="E63" i="14"/>
  <c r="F8" i="14"/>
  <c r="F19" i="14" s="1"/>
  <c r="E62" i="7"/>
  <c r="D44" i="7"/>
  <c r="D29" i="7"/>
  <c r="G11" i="7"/>
  <c r="E64" i="7"/>
  <c r="E63" i="7"/>
  <c r="F8" i="7"/>
  <c r="F18" i="7" s="1"/>
  <c r="E37" i="7"/>
  <c r="G5" i="7"/>
  <c r="E110" i="11"/>
  <c r="F20" i="14" l="1"/>
  <c r="G48" i="14"/>
  <c r="F64" i="7"/>
  <c r="F48" i="7"/>
  <c r="G48" i="7" s="1"/>
  <c r="F50" i="7"/>
  <c r="F39" i="14"/>
  <c r="E55" i="7"/>
  <c r="F18" i="14"/>
  <c r="F49" i="7"/>
  <c r="F51" i="7"/>
  <c r="F43" i="14"/>
  <c r="F24" i="7"/>
  <c r="F17" i="14"/>
  <c r="F21" i="14"/>
  <c r="E57" i="14"/>
  <c r="F41" i="14"/>
  <c r="G49" i="14"/>
  <c r="G50" i="14"/>
  <c r="E56" i="14"/>
  <c r="F40" i="14"/>
  <c r="F21" i="7"/>
  <c r="G34" i="7"/>
  <c r="F27" i="7"/>
  <c r="G27" i="7" s="1"/>
  <c r="G47" i="14"/>
  <c r="F59" i="14"/>
  <c r="G24" i="14"/>
  <c r="F56" i="14"/>
  <c r="G32" i="14"/>
  <c r="F57" i="14"/>
  <c r="F55" i="14"/>
  <c r="F43" i="7"/>
  <c r="F20" i="7"/>
  <c r="E56" i="7"/>
  <c r="G32" i="7"/>
  <c r="F41" i="7"/>
  <c r="G9" i="7"/>
  <c r="F40" i="7"/>
  <c r="F39" i="7"/>
  <c r="G51" i="7"/>
  <c r="G36" i="7"/>
  <c r="G35" i="7"/>
  <c r="G49" i="7"/>
  <c r="F42" i="7"/>
  <c r="F26" i="7"/>
  <c r="G26" i="7" s="1"/>
  <c r="F62" i="7"/>
  <c r="G33" i="7"/>
  <c r="E59" i="7"/>
  <c r="F28" i="7"/>
  <c r="F19" i="7"/>
  <c r="G12" i="7"/>
  <c r="F57" i="7"/>
  <c r="F25" i="7"/>
  <c r="G50" i="7"/>
  <c r="H50" i="7" s="1"/>
  <c r="F47" i="7"/>
  <c r="G47" i="7" s="1"/>
  <c r="F17" i="7"/>
  <c r="U40" i="16"/>
  <c r="V39" i="16"/>
  <c r="AB40" i="16"/>
  <c r="AC39" i="16"/>
  <c r="AB14" i="16"/>
  <c r="AC13" i="16"/>
  <c r="U146" i="16"/>
  <c r="V145" i="16"/>
  <c r="U14" i="16"/>
  <c r="V13" i="16"/>
  <c r="G71" i="14"/>
  <c r="F86" i="14"/>
  <c r="F85" i="14" s="1"/>
  <c r="G81" i="7"/>
  <c r="F86" i="7"/>
  <c r="F85" i="7" s="1"/>
  <c r="C90" i="7"/>
  <c r="E22" i="14"/>
  <c r="E29" i="7"/>
  <c r="D60" i="14"/>
  <c r="E44" i="7"/>
  <c r="D60" i="7"/>
  <c r="E22" i="7"/>
  <c r="F52" i="14"/>
  <c r="H14" i="14"/>
  <c r="H51" i="14" s="1"/>
  <c r="G64" i="14"/>
  <c r="G12" i="14"/>
  <c r="G43" i="14" s="1"/>
  <c r="F62" i="14"/>
  <c r="E37" i="14"/>
  <c r="E44" i="14"/>
  <c r="G8" i="14"/>
  <c r="G21" i="14" s="1"/>
  <c r="F63" i="14"/>
  <c r="C67" i="14"/>
  <c r="E29" i="14"/>
  <c r="E52" i="7"/>
  <c r="F63" i="7"/>
  <c r="G64" i="7"/>
  <c r="H12" i="7"/>
  <c r="H11" i="7"/>
  <c r="G8" i="7"/>
  <c r="G18" i="7" s="1"/>
  <c r="F37" i="14"/>
  <c r="H5" i="7"/>
  <c r="F110" i="11"/>
  <c r="H14" i="7"/>
  <c r="F37" i="7"/>
  <c r="G24" i="7" l="1"/>
  <c r="G20" i="7"/>
  <c r="H35" i="7"/>
  <c r="G39" i="14"/>
  <c r="G58" i="14" s="1"/>
  <c r="G42" i="14"/>
  <c r="G62" i="7"/>
  <c r="G40" i="14"/>
  <c r="H40" i="14" s="1"/>
  <c r="H21" i="14"/>
  <c r="H48" i="14"/>
  <c r="G17" i="14"/>
  <c r="G18" i="14"/>
  <c r="H50" i="14"/>
  <c r="H49" i="14"/>
  <c r="G20" i="14"/>
  <c r="G41" i="14"/>
  <c r="F58" i="14"/>
  <c r="G19" i="14"/>
  <c r="G39" i="7"/>
  <c r="G42" i="7"/>
  <c r="H42" i="7" s="1"/>
  <c r="I42" i="7" s="1"/>
  <c r="G21" i="7"/>
  <c r="G28" i="7"/>
  <c r="H48" i="7"/>
  <c r="H33" i="7"/>
  <c r="F59" i="7"/>
  <c r="F56" i="7"/>
  <c r="F29" i="7"/>
  <c r="F55" i="7"/>
  <c r="H32" i="14"/>
  <c r="G57" i="14"/>
  <c r="H24" i="14"/>
  <c r="G56" i="14"/>
  <c r="G59" i="7"/>
  <c r="G25" i="7"/>
  <c r="G56" i="7" s="1"/>
  <c r="H47" i="14"/>
  <c r="G59" i="14"/>
  <c r="G40" i="7"/>
  <c r="H40" i="7" s="1"/>
  <c r="H36" i="7"/>
  <c r="G43" i="7"/>
  <c r="H43" i="7" s="1"/>
  <c r="F58" i="7"/>
  <c r="H49" i="7"/>
  <c r="G17" i="7"/>
  <c r="G19" i="7"/>
  <c r="H9" i="7"/>
  <c r="H24" i="7" s="1"/>
  <c r="H39" i="7"/>
  <c r="H47" i="7"/>
  <c r="H34" i="7"/>
  <c r="G41" i="7"/>
  <c r="H41" i="7" s="1"/>
  <c r="H51" i="7"/>
  <c r="H32" i="7"/>
  <c r="G57" i="7"/>
  <c r="U41" i="16"/>
  <c r="V40" i="16"/>
  <c r="AB41" i="16"/>
  <c r="AC40" i="16"/>
  <c r="AB15" i="16"/>
  <c r="AC14" i="16"/>
  <c r="U147" i="16"/>
  <c r="V146" i="16"/>
  <c r="U15" i="16"/>
  <c r="V14" i="16"/>
  <c r="H71" i="14"/>
  <c r="G86" i="14"/>
  <c r="G85" i="14" s="1"/>
  <c r="H81" i="7"/>
  <c r="G86" i="7"/>
  <c r="G85" i="7" s="1"/>
  <c r="F22" i="14"/>
  <c r="E60" i="14"/>
  <c r="E66" i="14" s="1"/>
  <c r="D66" i="7"/>
  <c r="D67" i="7" s="1"/>
  <c r="D88" i="7" s="1"/>
  <c r="D66" i="14"/>
  <c r="D67" i="14" s="1"/>
  <c r="C90" i="14"/>
  <c r="C88" i="14"/>
  <c r="C91" i="14" s="1"/>
  <c r="F52" i="7"/>
  <c r="E60" i="7"/>
  <c r="H12" i="14"/>
  <c r="H43" i="14" s="1"/>
  <c r="G62" i="14"/>
  <c r="H8" i="14"/>
  <c r="G63" i="14"/>
  <c r="F44" i="14"/>
  <c r="G52" i="14"/>
  <c r="I14" i="14"/>
  <c r="I51" i="14" s="1"/>
  <c r="H64" i="14"/>
  <c r="F29" i="14"/>
  <c r="H64" i="7"/>
  <c r="I12" i="7"/>
  <c r="I11" i="7"/>
  <c r="I35" i="7" s="1"/>
  <c r="G63" i="7"/>
  <c r="F22" i="7"/>
  <c r="F44" i="7"/>
  <c r="H8" i="7"/>
  <c r="H20" i="7" s="1"/>
  <c r="G37" i="7"/>
  <c r="I5" i="7"/>
  <c r="G110" i="11"/>
  <c r="I14" i="7"/>
  <c r="I50" i="7" s="1"/>
  <c r="H28" i="7" l="1"/>
  <c r="H17" i="14"/>
  <c r="I41" i="7"/>
  <c r="I48" i="7"/>
  <c r="I47" i="7"/>
  <c r="H19" i="14"/>
  <c r="I48" i="14"/>
  <c r="I49" i="14"/>
  <c r="H39" i="14"/>
  <c r="I50" i="14"/>
  <c r="H42" i="14"/>
  <c r="H58" i="14" s="1"/>
  <c r="H18" i="14"/>
  <c r="G55" i="14"/>
  <c r="H41" i="14"/>
  <c r="H20" i="14"/>
  <c r="G29" i="7"/>
  <c r="I32" i="7"/>
  <c r="I43" i="7"/>
  <c r="J43" i="7" s="1"/>
  <c r="I39" i="7"/>
  <c r="I51" i="7"/>
  <c r="G55" i="7"/>
  <c r="G58" i="7"/>
  <c r="I47" i="14"/>
  <c r="H59" i="14"/>
  <c r="I24" i="14"/>
  <c r="H56" i="14"/>
  <c r="H55" i="14"/>
  <c r="I32" i="14"/>
  <c r="H57" i="14"/>
  <c r="H18" i="7"/>
  <c r="I34" i="7"/>
  <c r="H58" i="7"/>
  <c r="H59" i="7"/>
  <c r="H19" i="7"/>
  <c r="I9" i="7"/>
  <c r="I62" i="7" s="1"/>
  <c r="H27" i="7"/>
  <c r="I36" i="7"/>
  <c r="H25" i="7"/>
  <c r="I49" i="7"/>
  <c r="J49" i="7" s="1"/>
  <c r="H26" i="7"/>
  <c r="I26" i="7" s="1"/>
  <c r="H57" i="7"/>
  <c r="H17" i="7"/>
  <c r="H62" i="7"/>
  <c r="H21" i="7"/>
  <c r="I33" i="7"/>
  <c r="I40" i="7"/>
  <c r="AB42" i="16"/>
  <c r="AC41" i="16"/>
  <c r="U42" i="16"/>
  <c r="V41" i="16"/>
  <c r="AB16" i="16"/>
  <c r="AC15" i="16"/>
  <c r="U148" i="16"/>
  <c r="V147" i="16"/>
  <c r="U16" i="16"/>
  <c r="V15" i="16"/>
  <c r="I71" i="14"/>
  <c r="H86" i="14"/>
  <c r="H85" i="14" s="1"/>
  <c r="I81" i="7"/>
  <c r="H86" i="7"/>
  <c r="H85" i="7" s="1"/>
  <c r="G22" i="14"/>
  <c r="E67" i="14"/>
  <c r="E90" i="14" s="1"/>
  <c r="E66" i="7"/>
  <c r="E67" i="7" s="1"/>
  <c r="D90" i="7"/>
  <c r="D90" i="14"/>
  <c r="D88" i="14"/>
  <c r="D91" i="14" s="1"/>
  <c r="D91" i="7"/>
  <c r="I8" i="14"/>
  <c r="I21" i="14" s="1"/>
  <c r="H63" i="14"/>
  <c r="I12" i="14"/>
  <c r="I40" i="14" s="1"/>
  <c r="H62" i="14"/>
  <c r="F60" i="14"/>
  <c r="G29" i="14"/>
  <c r="J14" i="14"/>
  <c r="J51" i="14" s="1"/>
  <c r="I64" i="14"/>
  <c r="H52" i="14"/>
  <c r="G44" i="14"/>
  <c r="G52" i="7"/>
  <c r="G37" i="14"/>
  <c r="F60" i="7"/>
  <c r="J12" i="7"/>
  <c r="J11" i="7"/>
  <c r="H44" i="7"/>
  <c r="I64" i="7"/>
  <c r="G44" i="7"/>
  <c r="I8" i="7"/>
  <c r="H63" i="7"/>
  <c r="G22" i="7"/>
  <c r="J14" i="7"/>
  <c r="H37" i="7"/>
  <c r="J5" i="7"/>
  <c r="H110" i="11"/>
  <c r="I19" i="14" l="1"/>
  <c r="I58" i="7"/>
  <c r="I25" i="7"/>
  <c r="I29" i="7" s="1"/>
  <c r="I18" i="7"/>
  <c r="I17" i="14"/>
  <c r="I39" i="14"/>
  <c r="I18" i="14"/>
  <c r="J18" i="14" s="1"/>
  <c r="K51" i="14"/>
  <c r="I42" i="14"/>
  <c r="I20" i="14"/>
  <c r="J20" i="14" s="1"/>
  <c r="J50" i="14"/>
  <c r="I41" i="14"/>
  <c r="J49" i="14"/>
  <c r="J48" i="14"/>
  <c r="K48" i="14" s="1"/>
  <c r="I43" i="14"/>
  <c r="J43" i="14" s="1"/>
  <c r="I24" i="7"/>
  <c r="I28" i="7"/>
  <c r="I27" i="7"/>
  <c r="J24" i="14"/>
  <c r="I56" i="14"/>
  <c r="J47" i="14"/>
  <c r="I59" i="14"/>
  <c r="J32" i="14"/>
  <c r="I57" i="14"/>
  <c r="J34" i="7"/>
  <c r="I57" i="7"/>
  <c r="J51" i="7"/>
  <c r="I59" i="7"/>
  <c r="I17" i="7"/>
  <c r="J36" i="7"/>
  <c r="I19" i="7"/>
  <c r="J48" i="7"/>
  <c r="J35" i="7"/>
  <c r="J8" i="7"/>
  <c r="J63" i="7" s="1"/>
  <c r="J47" i="7"/>
  <c r="J39" i="7"/>
  <c r="J33" i="7"/>
  <c r="J32" i="7"/>
  <c r="I56" i="7"/>
  <c r="J9" i="7"/>
  <c r="H55" i="7"/>
  <c r="J41" i="7"/>
  <c r="J50" i="7"/>
  <c r="I20" i="7"/>
  <c r="H29" i="7"/>
  <c r="J40" i="7"/>
  <c r="I21" i="7"/>
  <c r="H56" i="7"/>
  <c r="J42" i="7"/>
  <c r="AB43" i="16"/>
  <c r="AC42" i="16"/>
  <c r="U43" i="16"/>
  <c r="V42" i="16"/>
  <c r="AB17" i="16"/>
  <c r="AC16" i="16"/>
  <c r="U149" i="16"/>
  <c r="V148" i="16"/>
  <c r="U17" i="16"/>
  <c r="V16" i="16"/>
  <c r="J71" i="14"/>
  <c r="I86" i="14"/>
  <c r="I85" i="14" s="1"/>
  <c r="J81" i="7"/>
  <c r="I86" i="7"/>
  <c r="I85" i="7" s="1"/>
  <c r="E88" i="7"/>
  <c r="E91" i="7" s="1"/>
  <c r="E90" i="7"/>
  <c r="E88" i="14"/>
  <c r="E91" i="14" s="1"/>
  <c r="G60" i="7"/>
  <c r="G66" i="7" s="1"/>
  <c r="G67" i="7" s="1"/>
  <c r="G88" i="7" s="1"/>
  <c r="F66" i="7"/>
  <c r="F67" i="7" s="1"/>
  <c r="G60" i="14"/>
  <c r="H52" i="7"/>
  <c r="H22" i="7"/>
  <c r="K14" i="14"/>
  <c r="J64" i="14"/>
  <c r="J12" i="14"/>
  <c r="J40" i="14" s="1"/>
  <c r="I62" i="14"/>
  <c r="H29" i="14"/>
  <c r="H22" i="14"/>
  <c r="I52" i="14"/>
  <c r="H44" i="14"/>
  <c r="F66" i="14"/>
  <c r="F67" i="14" s="1"/>
  <c r="J8" i="14"/>
  <c r="J19" i="14" s="1"/>
  <c r="I63" i="14"/>
  <c r="H37" i="14"/>
  <c r="K11" i="7"/>
  <c r="K12" i="7"/>
  <c r="I63" i="7"/>
  <c r="I44" i="7"/>
  <c r="J64" i="7"/>
  <c r="I110" i="11"/>
  <c r="K5" i="7"/>
  <c r="K14" i="7"/>
  <c r="I52" i="7"/>
  <c r="I37" i="7"/>
  <c r="J42" i="14" l="1"/>
  <c r="J28" i="7"/>
  <c r="J39" i="14"/>
  <c r="J41" i="14"/>
  <c r="I55" i="14"/>
  <c r="J21" i="14"/>
  <c r="J17" i="14"/>
  <c r="K50" i="14"/>
  <c r="I58" i="14"/>
  <c r="K49" i="14"/>
  <c r="K48" i="7"/>
  <c r="J18" i="7"/>
  <c r="J17" i="7"/>
  <c r="K50" i="7"/>
  <c r="K51" i="7"/>
  <c r="K32" i="14"/>
  <c r="J57" i="14"/>
  <c r="K47" i="14"/>
  <c r="J59" i="14"/>
  <c r="K24" i="14"/>
  <c r="J56" i="14"/>
  <c r="J20" i="7"/>
  <c r="J25" i="7"/>
  <c r="K8" i="7"/>
  <c r="L8" i="7" s="1"/>
  <c r="J24" i="7"/>
  <c r="K24" i="7" s="1"/>
  <c r="K32" i="7"/>
  <c r="K35" i="7"/>
  <c r="K40" i="7"/>
  <c r="K18" i="7"/>
  <c r="K42" i="7"/>
  <c r="K33" i="7"/>
  <c r="J58" i="7"/>
  <c r="K39" i="7"/>
  <c r="K34" i="7"/>
  <c r="J26" i="7"/>
  <c r="K47" i="7"/>
  <c r="J19" i="7"/>
  <c r="K19" i="7" s="1"/>
  <c r="J59" i="7"/>
  <c r="I55" i="7"/>
  <c r="K9" i="7"/>
  <c r="J57" i="7"/>
  <c r="K43" i="7"/>
  <c r="J62" i="7"/>
  <c r="J21" i="7"/>
  <c r="K21" i="7" s="1"/>
  <c r="K41" i="7"/>
  <c r="J27" i="7"/>
  <c r="K36" i="7"/>
  <c r="K49" i="7"/>
  <c r="AB44" i="16"/>
  <c r="AC43" i="16"/>
  <c r="U44" i="16"/>
  <c r="V43" i="16"/>
  <c r="AB18" i="16"/>
  <c r="AC17" i="16"/>
  <c r="U150" i="16"/>
  <c r="V149" i="16"/>
  <c r="U18" i="16"/>
  <c r="V17" i="16"/>
  <c r="K71" i="14"/>
  <c r="J86" i="14"/>
  <c r="J85" i="14" s="1"/>
  <c r="K81" i="7"/>
  <c r="J86" i="7"/>
  <c r="J85" i="7" s="1"/>
  <c r="F88" i="7"/>
  <c r="F91" i="7" s="1"/>
  <c r="F90" i="7"/>
  <c r="F90" i="14"/>
  <c r="F88" i="14"/>
  <c r="F91" i="14" s="1"/>
  <c r="G66" i="14"/>
  <c r="G67" i="14" s="1"/>
  <c r="I22" i="14"/>
  <c r="K12" i="14"/>
  <c r="K40" i="14" s="1"/>
  <c r="J62" i="14"/>
  <c r="J52" i="14"/>
  <c r="L14" i="14"/>
  <c r="L51" i="14" s="1"/>
  <c r="K64" i="14"/>
  <c r="H60" i="14"/>
  <c r="I44" i="14"/>
  <c r="I29" i="14"/>
  <c r="K8" i="14"/>
  <c r="K19" i="14" s="1"/>
  <c r="J63" i="14"/>
  <c r="I37" i="14"/>
  <c r="L12" i="7"/>
  <c r="K62" i="7"/>
  <c r="K64" i="7"/>
  <c r="L11" i="7"/>
  <c r="H60" i="7"/>
  <c r="K63" i="7"/>
  <c r="I22" i="7"/>
  <c r="G90" i="7"/>
  <c r="J44" i="7"/>
  <c r="L5" i="7"/>
  <c r="J110" i="11"/>
  <c r="J52" i="7"/>
  <c r="L14" i="7"/>
  <c r="J37" i="7"/>
  <c r="K17" i="14" l="1"/>
  <c r="K39" i="14"/>
  <c r="K25" i="7"/>
  <c r="J58" i="14"/>
  <c r="L48" i="14"/>
  <c r="K21" i="14"/>
  <c r="K18" i="14"/>
  <c r="K55" i="14" s="1"/>
  <c r="K27" i="7"/>
  <c r="L51" i="7"/>
  <c r="K42" i="14"/>
  <c r="L39" i="7"/>
  <c r="L49" i="14"/>
  <c r="M49" i="14" s="1"/>
  <c r="J55" i="14"/>
  <c r="K41" i="14"/>
  <c r="M48" i="14"/>
  <c r="K20" i="14"/>
  <c r="K43" i="14"/>
  <c r="L43" i="14" s="1"/>
  <c r="L50" i="14"/>
  <c r="M50" i="14" s="1"/>
  <c r="L19" i="7"/>
  <c r="L48" i="7"/>
  <c r="L49" i="7"/>
  <c r="M49" i="7" s="1"/>
  <c r="K57" i="7"/>
  <c r="L32" i="14"/>
  <c r="K57" i="14"/>
  <c r="L47" i="14"/>
  <c r="K59" i="14"/>
  <c r="L24" i="14"/>
  <c r="K56" i="14"/>
  <c r="K59" i="7"/>
  <c r="J22" i="7"/>
  <c r="K58" i="7"/>
  <c r="L33" i="7"/>
  <c r="L43" i="7"/>
  <c r="L50" i="7"/>
  <c r="L47" i="7"/>
  <c r="L18" i="7"/>
  <c r="K20" i="7"/>
  <c r="L20" i="7" s="1"/>
  <c r="L32" i="7"/>
  <c r="L36" i="7"/>
  <c r="L41" i="7"/>
  <c r="L9" i="7"/>
  <c r="L62" i="7" s="1"/>
  <c r="K26" i="7"/>
  <c r="L40" i="7"/>
  <c r="K17" i="7"/>
  <c r="L17" i="7" s="1"/>
  <c r="L42" i="7"/>
  <c r="J55" i="7"/>
  <c r="J29" i="7"/>
  <c r="L21" i="7"/>
  <c r="J56" i="7"/>
  <c r="L34" i="7"/>
  <c r="L35" i="7"/>
  <c r="K28" i="7"/>
  <c r="AB45" i="16"/>
  <c r="AC44" i="16"/>
  <c r="U45" i="16"/>
  <c r="V44" i="16"/>
  <c r="AB19" i="16"/>
  <c r="AC18" i="16"/>
  <c r="U151" i="16"/>
  <c r="V150" i="16"/>
  <c r="U19" i="16"/>
  <c r="V18" i="16"/>
  <c r="L71" i="14"/>
  <c r="K86" i="14"/>
  <c r="K85" i="14" s="1"/>
  <c r="L81" i="7"/>
  <c r="K86" i="7"/>
  <c r="K85" i="7" s="1"/>
  <c r="J22" i="14"/>
  <c r="G88" i="14"/>
  <c r="G91" i="14" s="1"/>
  <c r="G90" i="14"/>
  <c r="K52" i="14"/>
  <c r="H66" i="14"/>
  <c r="H67" i="14" s="1"/>
  <c r="I60" i="14"/>
  <c r="J29" i="14"/>
  <c r="L12" i="14"/>
  <c r="L42" i="14" s="1"/>
  <c r="K62" i="14"/>
  <c r="M14" i="14"/>
  <c r="M51" i="14" s="1"/>
  <c r="L64" i="14"/>
  <c r="L8" i="14"/>
  <c r="L19" i="14" s="1"/>
  <c r="K63" i="14"/>
  <c r="J44" i="14"/>
  <c r="I60" i="7"/>
  <c r="G91" i="7"/>
  <c r="J37" i="14"/>
  <c r="L63" i="7"/>
  <c r="L64" i="7"/>
  <c r="M12" i="7"/>
  <c r="H66" i="7"/>
  <c r="H67" i="7" s="1"/>
  <c r="H88" i="7" s="1"/>
  <c r="M11" i="7"/>
  <c r="K37" i="7"/>
  <c r="K52" i="7"/>
  <c r="M14" i="7"/>
  <c r="M51" i="7" s="1"/>
  <c r="M5" i="7"/>
  <c r="K110" i="11"/>
  <c r="M8" i="7"/>
  <c r="M19" i="7" s="1"/>
  <c r="M43" i="7" l="1"/>
  <c r="L41" i="14"/>
  <c r="M21" i="7"/>
  <c r="M36" i="7"/>
  <c r="K58" i="14"/>
  <c r="L20" i="14"/>
  <c r="L17" i="14"/>
  <c r="M17" i="14" s="1"/>
  <c r="L39" i="14"/>
  <c r="L18" i="14"/>
  <c r="L40" i="14"/>
  <c r="N48" i="14"/>
  <c r="L21" i="14"/>
  <c r="L28" i="7"/>
  <c r="M28" i="7" s="1"/>
  <c r="M35" i="7"/>
  <c r="L59" i="7"/>
  <c r="L26" i="7"/>
  <c r="L58" i="7"/>
  <c r="M24" i="14"/>
  <c r="L56" i="14"/>
  <c r="M47" i="14"/>
  <c r="L59" i="14"/>
  <c r="J60" i="7"/>
  <c r="J66" i="7" s="1"/>
  <c r="J67" i="7" s="1"/>
  <c r="J88" i="7" s="1"/>
  <c r="M32" i="14"/>
  <c r="L57" i="14"/>
  <c r="L58" i="14"/>
  <c r="M17" i="7"/>
  <c r="M34" i="7"/>
  <c r="M40" i="7"/>
  <c r="M32" i="7"/>
  <c r="M20" i="7"/>
  <c r="L55" i="7"/>
  <c r="M18" i="7"/>
  <c r="K56" i="7"/>
  <c r="M47" i="7"/>
  <c r="L57" i="7"/>
  <c r="K22" i="7"/>
  <c r="M41" i="7"/>
  <c r="M50" i="7"/>
  <c r="K55" i="7"/>
  <c r="M39" i="7"/>
  <c r="M9" i="7"/>
  <c r="L24" i="7"/>
  <c r="K29" i="7"/>
  <c r="M42" i="7"/>
  <c r="L25" i="7"/>
  <c r="L27" i="7"/>
  <c r="M33" i="7"/>
  <c r="N33" i="7" s="1"/>
  <c r="M48" i="7"/>
  <c r="U46" i="16"/>
  <c r="V45" i="16"/>
  <c r="AB46" i="16"/>
  <c r="AC45" i="16"/>
  <c r="AB20" i="16"/>
  <c r="AC19" i="16"/>
  <c r="U152" i="16"/>
  <c r="V151" i="16"/>
  <c r="U20" i="16"/>
  <c r="V19" i="16"/>
  <c r="M71" i="14"/>
  <c r="L86" i="14"/>
  <c r="L85" i="14" s="1"/>
  <c r="M81" i="7"/>
  <c r="L86" i="7"/>
  <c r="L85" i="7" s="1"/>
  <c r="I66" i="7"/>
  <c r="I67" i="7" s="1"/>
  <c r="H88" i="14"/>
  <c r="H91" i="14" s="1"/>
  <c r="H90" i="14"/>
  <c r="J60" i="14"/>
  <c r="N14" i="14"/>
  <c r="N51" i="14" s="1"/>
  <c r="M64" i="14"/>
  <c r="I66" i="14"/>
  <c r="I67" i="14" s="1"/>
  <c r="K44" i="14"/>
  <c r="L52" i="14"/>
  <c r="M12" i="14"/>
  <c r="M42" i="14" s="1"/>
  <c r="L62" i="14"/>
  <c r="M8" i="14"/>
  <c r="M19" i="14" s="1"/>
  <c r="L63" i="14"/>
  <c r="K29" i="14"/>
  <c r="K22" i="14"/>
  <c r="K37" i="14"/>
  <c r="N12" i="7"/>
  <c r="N43" i="7" s="1"/>
  <c r="M62" i="7"/>
  <c r="L44" i="7"/>
  <c r="N11" i="7"/>
  <c r="M63" i="7"/>
  <c r="H91" i="7"/>
  <c r="H90" i="7"/>
  <c r="M64" i="7"/>
  <c r="K44" i="7"/>
  <c r="N14" i="7"/>
  <c r="L52" i="7"/>
  <c r="L37" i="7"/>
  <c r="L22" i="7"/>
  <c r="N5" i="7"/>
  <c r="L110" i="11"/>
  <c r="N8" i="7"/>
  <c r="N49" i="14" l="1"/>
  <c r="N35" i="7"/>
  <c r="M24" i="7"/>
  <c r="M26" i="7"/>
  <c r="N26" i="7" s="1"/>
  <c r="M21" i="14"/>
  <c r="M20" i="14"/>
  <c r="K60" i="7"/>
  <c r="N50" i="14"/>
  <c r="M39" i="14"/>
  <c r="L55" i="14"/>
  <c r="M43" i="14"/>
  <c r="M18" i="14"/>
  <c r="M55" i="14" s="1"/>
  <c r="M40" i="14"/>
  <c r="M41" i="14"/>
  <c r="N41" i="7"/>
  <c r="N40" i="7"/>
  <c r="N34" i="7"/>
  <c r="N48" i="7"/>
  <c r="L56" i="7"/>
  <c r="L60" i="7" s="1"/>
  <c r="N32" i="14"/>
  <c r="M57" i="14"/>
  <c r="N47" i="14"/>
  <c r="M59" i="14"/>
  <c r="N24" i="14"/>
  <c r="M56" i="14"/>
  <c r="N24" i="7"/>
  <c r="M58" i="7"/>
  <c r="N9" i="7"/>
  <c r="M59" i="7"/>
  <c r="N18" i="7"/>
  <c r="M57" i="7"/>
  <c r="N28" i="7"/>
  <c r="L29" i="7"/>
  <c r="M27" i="7"/>
  <c r="N27" i="7" s="1"/>
  <c r="N39" i="7"/>
  <c r="N49" i="7"/>
  <c r="N19" i="7"/>
  <c r="N17" i="7"/>
  <c r="N20" i="7"/>
  <c r="M25" i="7"/>
  <c r="N25" i="7" s="1"/>
  <c r="N51" i="7"/>
  <c r="N21" i="7"/>
  <c r="M55" i="7"/>
  <c r="N42" i="7"/>
  <c r="O42" i="7" s="1"/>
  <c r="N50" i="7"/>
  <c r="N47" i="7"/>
  <c r="N32" i="7"/>
  <c r="N36" i="7"/>
  <c r="AB47" i="16"/>
  <c r="AC46" i="16"/>
  <c r="U47" i="16"/>
  <c r="V46" i="16"/>
  <c r="AB21" i="16"/>
  <c r="AC20" i="16"/>
  <c r="U153" i="16"/>
  <c r="V152" i="16"/>
  <c r="U21" i="16"/>
  <c r="V20" i="16"/>
  <c r="N71" i="14"/>
  <c r="M86" i="14"/>
  <c r="M85" i="14" s="1"/>
  <c r="N81" i="7"/>
  <c r="M86" i="7"/>
  <c r="M85" i="7" s="1"/>
  <c r="L22" i="14"/>
  <c r="I88" i="7"/>
  <c r="I91" i="7" s="1"/>
  <c r="I90" i="7"/>
  <c r="I90" i="14"/>
  <c r="I88" i="14"/>
  <c r="I91" i="14" s="1"/>
  <c r="M52" i="14"/>
  <c r="N12" i="14"/>
  <c r="N42" i="14" s="1"/>
  <c r="M62" i="14"/>
  <c r="J66" i="14"/>
  <c r="J67" i="14" s="1"/>
  <c r="L29" i="14"/>
  <c r="O14" i="14"/>
  <c r="O50" i="14" s="1"/>
  <c r="N64" i="14"/>
  <c r="N8" i="14"/>
  <c r="N19" i="14" s="1"/>
  <c r="M63" i="14"/>
  <c r="L44" i="14"/>
  <c r="K60" i="14"/>
  <c r="L37" i="14"/>
  <c r="N63" i="7"/>
  <c r="O11" i="7"/>
  <c r="O33" i="7" s="1"/>
  <c r="J90" i="7"/>
  <c r="O12" i="7"/>
  <c r="N62" i="7"/>
  <c r="N64" i="7"/>
  <c r="K66" i="7"/>
  <c r="K67" i="7" s="1"/>
  <c r="K88" i="7" s="1"/>
  <c r="M37" i="14"/>
  <c r="M52" i="7"/>
  <c r="M22" i="7"/>
  <c r="M110" i="11"/>
  <c r="O5" i="7"/>
  <c r="M37" i="7"/>
  <c r="O14" i="7"/>
  <c r="O48" i="7" s="1"/>
  <c r="O8" i="7"/>
  <c r="N43" i="14" l="1"/>
  <c r="N39" i="14"/>
  <c r="O20" i="7"/>
  <c r="N41" i="14"/>
  <c r="N58" i="14" s="1"/>
  <c r="N40" i="14"/>
  <c r="M58" i="14"/>
  <c r="N20" i="14"/>
  <c r="O49" i="14"/>
  <c r="O48" i="14"/>
  <c r="O51" i="14"/>
  <c r="N17" i="14"/>
  <c r="N21" i="14"/>
  <c r="N18" i="14"/>
  <c r="N57" i="7"/>
  <c r="N59" i="7"/>
  <c r="M29" i="7"/>
  <c r="M56" i="7"/>
  <c r="M60" i="7" s="1"/>
  <c r="O47" i="14"/>
  <c r="N59" i="14"/>
  <c r="O24" i="14"/>
  <c r="N56" i="14"/>
  <c r="O32" i="14"/>
  <c r="N57" i="14"/>
  <c r="O34" i="7"/>
  <c r="O17" i="7"/>
  <c r="O43" i="7"/>
  <c r="O32" i="7"/>
  <c r="O21" i="7"/>
  <c r="O49" i="7"/>
  <c r="O18" i="7"/>
  <c r="P18" i="7" s="1"/>
  <c r="N55" i="7"/>
  <c r="O19" i="7"/>
  <c r="O47" i="7"/>
  <c r="O51" i="7"/>
  <c r="O39" i="7"/>
  <c r="O40" i="7"/>
  <c r="N58" i="7"/>
  <c r="O41" i="7"/>
  <c r="O36" i="7"/>
  <c r="O50" i="7"/>
  <c r="N56" i="7"/>
  <c r="O9" i="7"/>
  <c r="O26" i="7" s="1"/>
  <c r="O35" i="7"/>
  <c r="U48" i="16"/>
  <c r="V47" i="16"/>
  <c r="AB48" i="16"/>
  <c r="AC47" i="16"/>
  <c r="AB22" i="16"/>
  <c r="AC21" i="16"/>
  <c r="U154" i="16"/>
  <c r="V153" i="16"/>
  <c r="U22" i="16"/>
  <c r="V21" i="16"/>
  <c r="O71" i="14"/>
  <c r="N86" i="14"/>
  <c r="N85" i="14" s="1"/>
  <c r="O81" i="7"/>
  <c r="N86" i="7"/>
  <c r="N85" i="7" s="1"/>
  <c r="J88" i="14"/>
  <c r="J91" i="14" s="1"/>
  <c r="J90" i="14"/>
  <c r="J91" i="7"/>
  <c r="P14" i="14"/>
  <c r="P50" i="14" s="1"/>
  <c r="O64" i="14"/>
  <c r="M22" i="14"/>
  <c r="K66" i="14"/>
  <c r="K67" i="14" s="1"/>
  <c r="O12" i="14"/>
  <c r="O39" i="14" s="1"/>
  <c r="N62" i="14"/>
  <c r="M29" i="14"/>
  <c r="M44" i="14"/>
  <c r="O8" i="14"/>
  <c r="O19" i="14" s="1"/>
  <c r="N63" i="14"/>
  <c r="N52" i="14"/>
  <c r="L60" i="14"/>
  <c r="O63" i="7"/>
  <c r="N44" i="7"/>
  <c r="P12" i="7"/>
  <c r="P42" i="7" s="1"/>
  <c r="M44" i="7"/>
  <c r="P11" i="7"/>
  <c r="K90" i="7"/>
  <c r="O64" i="7"/>
  <c r="L66" i="7"/>
  <c r="L67" i="7" s="1"/>
  <c r="L88" i="7" s="1"/>
  <c r="N37" i="14"/>
  <c r="P5" i="7"/>
  <c r="N110" i="11"/>
  <c r="P14" i="7"/>
  <c r="N37" i="7"/>
  <c r="N52" i="7"/>
  <c r="N29" i="7"/>
  <c r="N22" i="7"/>
  <c r="P8" i="7"/>
  <c r="P20" i="7" s="1"/>
  <c r="O18" i="14" l="1"/>
  <c r="O20" i="14"/>
  <c r="N55" i="14"/>
  <c r="O43" i="14"/>
  <c r="P48" i="14"/>
  <c r="O41" i="14"/>
  <c r="O17" i="14"/>
  <c r="O21" i="14"/>
  <c r="O55" i="14" s="1"/>
  <c r="O40" i="14"/>
  <c r="P49" i="14"/>
  <c r="P43" i="14"/>
  <c r="O42" i="14"/>
  <c r="P51" i="14"/>
  <c r="P40" i="7"/>
  <c r="P39" i="7"/>
  <c r="P51" i="7"/>
  <c r="O55" i="7"/>
  <c r="O57" i="7"/>
  <c r="P24" i="14"/>
  <c r="O56" i="14"/>
  <c r="O59" i="7"/>
  <c r="P47" i="14"/>
  <c r="O59" i="14"/>
  <c r="P32" i="14"/>
  <c r="O57" i="14"/>
  <c r="O58" i="14"/>
  <c r="O27" i="7"/>
  <c r="P17" i="7"/>
  <c r="P34" i="7"/>
  <c r="P49" i="7"/>
  <c r="O62" i="7"/>
  <c r="P36" i="7"/>
  <c r="P21" i="7"/>
  <c r="P9" i="7"/>
  <c r="P62" i="7" s="1"/>
  <c r="O24" i="7"/>
  <c r="P50" i="7"/>
  <c r="P41" i="7"/>
  <c r="P19" i="7"/>
  <c r="P32" i="7"/>
  <c r="O58" i="7"/>
  <c r="O25" i="7"/>
  <c r="P47" i="7"/>
  <c r="O28" i="7"/>
  <c r="P35" i="7"/>
  <c r="P48" i="7"/>
  <c r="P43" i="7"/>
  <c r="Q43" i="7" s="1"/>
  <c r="P33" i="7"/>
  <c r="AB49" i="16"/>
  <c r="AC48" i="16"/>
  <c r="U49" i="16"/>
  <c r="V48" i="16"/>
  <c r="AB23" i="16"/>
  <c r="AC22" i="16"/>
  <c r="U155" i="16"/>
  <c r="V154" i="16"/>
  <c r="U23" i="16"/>
  <c r="V22" i="16"/>
  <c r="P71" i="14"/>
  <c r="O86" i="14"/>
  <c r="O85" i="14" s="1"/>
  <c r="P81" i="7"/>
  <c r="O86" i="7"/>
  <c r="O85" i="7" s="1"/>
  <c r="N22" i="14"/>
  <c r="K88" i="14"/>
  <c r="K91" i="14" s="1"/>
  <c r="K90" i="14"/>
  <c r="K91" i="7"/>
  <c r="M60" i="14"/>
  <c r="P12" i="14"/>
  <c r="P41" i="14" s="1"/>
  <c r="O62" i="14"/>
  <c r="O52" i="14"/>
  <c r="N29" i="14"/>
  <c r="Q14" i="14"/>
  <c r="Q50" i="14" s="1"/>
  <c r="P64" i="14"/>
  <c r="P8" i="14"/>
  <c r="P19" i="14" s="1"/>
  <c r="O63" i="14"/>
  <c r="N44" i="14"/>
  <c r="L66" i="14"/>
  <c r="L67" i="14" s="1"/>
  <c r="P63" i="7"/>
  <c r="P64" i="7"/>
  <c r="L90" i="7"/>
  <c r="Q12" i="7"/>
  <c r="Q42" i="7" s="1"/>
  <c r="Q11" i="7"/>
  <c r="O44" i="7"/>
  <c r="N60" i="7"/>
  <c r="M66" i="7"/>
  <c r="M67" i="7" s="1"/>
  <c r="M88" i="7" s="1"/>
  <c r="O37" i="14"/>
  <c r="O22" i="7"/>
  <c r="O37" i="7"/>
  <c r="Q5" i="7"/>
  <c r="O110" i="11"/>
  <c r="Q14" i="7"/>
  <c r="Q51" i="7" s="1"/>
  <c r="O52" i="7"/>
  <c r="Q8" i="7"/>
  <c r="Q20" i="7" s="1"/>
  <c r="Q21" i="7" l="1"/>
  <c r="Q49" i="14"/>
  <c r="Q51" i="14"/>
  <c r="R51" i="14" s="1"/>
  <c r="Q48" i="14"/>
  <c r="R48" i="14" s="1"/>
  <c r="P39" i="14"/>
  <c r="P20" i="14"/>
  <c r="P21" i="14"/>
  <c r="P18" i="14"/>
  <c r="Q18" i="14" s="1"/>
  <c r="P17" i="14"/>
  <c r="P40" i="14"/>
  <c r="P42" i="14"/>
  <c r="Q32" i="7"/>
  <c r="P25" i="7"/>
  <c r="Q41" i="7"/>
  <c r="Q17" i="7"/>
  <c r="Q34" i="7"/>
  <c r="P28" i="7"/>
  <c r="P24" i="7"/>
  <c r="Q24" i="7" s="1"/>
  <c r="Q39" i="7"/>
  <c r="Q47" i="14"/>
  <c r="P59" i="14"/>
  <c r="Q32" i="14"/>
  <c r="P57" i="14"/>
  <c r="P59" i="7"/>
  <c r="Q24" i="14"/>
  <c r="P56" i="14"/>
  <c r="Q48" i="7"/>
  <c r="O29" i="7"/>
  <c r="Q35" i="7"/>
  <c r="Q19" i="7"/>
  <c r="Q55" i="7" s="1"/>
  <c r="Q9" i="7"/>
  <c r="O56" i="7"/>
  <c r="O60" i="7" s="1"/>
  <c r="P58" i="7"/>
  <c r="P55" i="7"/>
  <c r="Q36" i="7"/>
  <c r="P27" i="7"/>
  <c r="Q27" i="7" s="1"/>
  <c r="P57" i="7"/>
  <c r="Q50" i="7"/>
  <c r="Q47" i="7"/>
  <c r="Q33" i="7"/>
  <c r="R33" i="7" s="1"/>
  <c r="Q40" i="7"/>
  <c r="Q58" i="7" s="1"/>
  <c r="Q18" i="7"/>
  <c r="Q49" i="7"/>
  <c r="P26" i="7"/>
  <c r="Q26" i="7" s="1"/>
  <c r="U50" i="16"/>
  <c r="V49" i="16"/>
  <c r="AB50" i="16"/>
  <c r="AC49" i="16"/>
  <c r="AB24" i="16"/>
  <c r="AC23" i="16"/>
  <c r="U156" i="16"/>
  <c r="V155" i="16"/>
  <c r="U24" i="16"/>
  <c r="V23" i="16"/>
  <c r="Q71" i="14"/>
  <c r="P86" i="14"/>
  <c r="P85" i="14" s="1"/>
  <c r="Q81" i="7"/>
  <c r="P86" i="7"/>
  <c r="P85" i="7" s="1"/>
  <c r="L90" i="14"/>
  <c r="L88" i="14"/>
  <c r="L91" i="14" s="1"/>
  <c r="P52" i="14"/>
  <c r="L91" i="7"/>
  <c r="M91" i="7" s="1"/>
  <c r="M66" i="14"/>
  <c r="M67" i="14" s="1"/>
  <c r="O44" i="14"/>
  <c r="R14" i="14"/>
  <c r="R49" i="14" s="1"/>
  <c r="Q64" i="14"/>
  <c r="N60" i="14"/>
  <c r="O22" i="14"/>
  <c r="Q12" i="14"/>
  <c r="Q41" i="14" s="1"/>
  <c r="P62" i="14"/>
  <c r="Q8" i="14"/>
  <c r="Q19" i="14" s="1"/>
  <c r="P63" i="14"/>
  <c r="O29" i="14"/>
  <c r="Q63" i="7"/>
  <c r="R11" i="7"/>
  <c r="R32" i="7" s="1"/>
  <c r="Q64" i="7"/>
  <c r="N66" i="7"/>
  <c r="N67" i="7" s="1"/>
  <c r="N88" i="7" s="1"/>
  <c r="R12" i="7"/>
  <c r="Q62" i="7"/>
  <c r="M90" i="7"/>
  <c r="R5" i="7"/>
  <c r="P110" i="11"/>
  <c r="P52" i="7"/>
  <c r="P22" i="7"/>
  <c r="P37" i="7"/>
  <c r="R14" i="7"/>
  <c r="R51" i="7" s="1"/>
  <c r="R8" i="7"/>
  <c r="R20" i="7" s="1"/>
  <c r="Q28" i="7" l="1"/>
  <c r="Q20" i="14"/>
  <c r="R41" i="7"/>
  <c r="Q39" i="14"/>
  <c r="R39" i="14" s="1"/>
  <c r="P58" i="14"/>
  <c r="Q43" i="14"/>
  <c r="Q42" i="14"/>
  <c r="Q21" i="14"/>
  <c r="P55" i="14"/>
  <c r="Q17" i="14"/>
  <c r="R50" i="14"/>
  <c r="Q40" i="14"/>
  <c r="R40" i="14" s="1"/>
  <c r="R43" i="7"/>
  <c r="R21" i="7"/>
  <c r="Q59" i="7"/>
  <c r="P29" i="7"/>
  <c r="R32" i="14"/>
  <c r="Q57" i="14"/>
  <c r="Q58" i="14"/>
  <c r="R24" i="14"/>
  <c r="Q56" i="14"/>
  <c r="Q55" i="14"/>
  <c r="R47" i="14"/>
  <c r="Q59" i="14"/>
  <c r="Q57" i="7"/>
  <c r="R47" i="7"/>
  <c r="R17" i="7"/>
  <c r="R49" i="7"/>
  <c r="R34" i="7"/>
  <c r="R36" i="7"/>
  <c r="P56" i="7"/>
  <c r="P60" i="7" s="1"/>
  <c r="R9" i="7"/>
  <c r="R28" i="7" s="1"/>
  <c r="R18" i="7"/>
  <c r="R50" i="7"/>
  <c r="R19" i="7"/>
  <c r="R48" i="7"/>
  <c r="R40" i="7"/>
  <c r="Q25" i="7"/>
  <c r="Q29" i="7" s="1"/>
  <c r="R39" i="7"/>
  <c r="R35" i="7"/>
  <c r="R42" i="7"/>
  <c r="U51" i="16"/>
  <c r="V50" i="16"/>
  <c r="AB51" i="16"/>
  <c r="AC50" i="16"/>
  <c r="AB25" i="16"/>
  <c r="AC24" i="16"/>
  <c r="U157" i="16"/>
  <c r="V156" i="16"/>
  <c r="U25" i="16"/>
  <c r="V24" i="16"/>
  <c r="R71" i="14"/>
  <c r="Q86" i="14"/>
  <c r="Q85" i="14" s="1"/>
  <c r="R81" i="7"/>
  <c r="Q86" i="7"/>
  <c r="Q85" i="7" s="1"/>
  <c r="M90" i="14"/>
  <c r="M88" i="14"/>
  <c r="M91" i="14" s="1"/>
  <c r="Q52" i="14"/>
  <c r="P22" i="14"/>
  <c r="P29" i="14"/>
  <c r="R12" i="14"/>
  <c r="R41" i="14" s="1"/>
  <c r="Q62" i="14"/>
  <c r="O60" i="14"/>
  <c r="S14" i="14"/>
  <c r="S49" i="14" s="1"/>
  <c r="R64" i="14"/>
  <c r="N66" i="14"/>
  <c r="N67" i="14" s="1"/>
  <c r="P44" i="14"/>
  <c r="R8" i="14"/>
  <c r="R20" i="14" s="1"/>
  <c r="Q63" i="14"/>
  <c r="P37" i="14"/>
  <c r="O66" i="7"/>
  <c r="O67" i="7" s="1"/>
  <c r="O88" i="7" s="1"/>
  <c r="S12" i="7"/>
  <c r="Q44" i="7"/>
  <c r="R64" i="7"/>
  <c r="S11" i="7"/>
  <c r="S32" i="7" s="1"/>
  <c r="P44" i="7"/>
  <c r="N90" i="7"/>
  <c r="N91" i="7"/>
  <c r="R63" i="7"/>
  <c r="Q22" i="7"/>
  <c r="S5" i="7"/>
  <c r="Q110" i="11"/>
  <c r="S14" i="7"/>
  <c r="Q52" i="7"/>
  <c r="Q37" i="7"/>
  <c r="S8" i="7"/>
  <c r="S21" i="7" s="1"/>
  <c r="S48" i="14" l="1"/>
  <c r="R18" i="14"/>
  <c r="S34" i="7"/>
  <c r="R42" i="14"/>
  <c r="R58" i="14" s="1"/>
  <c r="S35" i="7"/>
  <c r="R17" i="14"/>
  <c r="R43" i="14"/>
  <c r="R19" i="14"/>
  <c r="S50" i="14"/>
  <c r="S51" i="14"/>
  <c r="R21" i="14"/>
  <c r="S36" i="7"/>
  <c r="S19" i="7"/>
  <c r="S18" i="7"/>
  <c r="R24" i="7"/>
  <c r="R59" i="7"/>
  <c r="R58" i="7"/>
  <c r="S24" i="14"/>
  <c r="R56" i="14"/>
  <c r="S47" i="14"/>
  <c r="R59" i="14"/>
  <c r="S32" i="14"/>
  <c r="R57" i="14"/>
  <c r="R25" i="7"/>
  <c r="S50" i="7"/>
  <c r="S49" i="7"/>
  <c r="S40" i="7"/>
  <c r="R57" i="7"/>
  <c r="S43" i="7"/>
  <c r="S33" i="7"/>
  <c r="R27" i="7"/>
  <c r="Q56" i="7"/>
  <c r="Q60" i="7" s="1"/>
  <c r="S39" i="7"/>
  <c r="S9" i="7"/>
  <c r="S62" i="7" s="1"/>
  <c r="S48" i="7"/>
  <c r="R26" i="7"/>
  <c r="S17" i="7"/>
  <c r="S51" i="7"/>
  <c r="R55" i="7"/>
  <c r="R62" i="7"/>
  <c r="S42" i="7"/>
  <c r="S41" i="7"/>
  <c r="S47" i="7"/>
  <c r="S20" i="7"/>
  <c r="AB52" i="16"/>
  <c r="AC51" i="16"/>
  <c r="U52" i="16"/>
  <c r="V51" i="16"/>
  <c r="AB26" i="16"/>
  <c r="AC25" i="16"/>
  <c r="U158" i="16"/>
  <c r="V157" i="16"/>
  <c r="U26" i="16"/>
  <c r="V25" i="16"/>
  <c r="S71" i="14"/>
  <c r="R86" i="14"/>
  <c r="R85" i="14" s="1"/>
  <c r="S81" i="7"/>
  <c r="R86" i="7"/>
  <c r="R85" i="7" s="1"/>
  <c r="N88" i="14"/>
  <c r="N91" i="14" s="1"/>
  <c r="N90" i="14"/>
  <c r="P60" i="14"/>
  <c r="O66" i="14"/>
  <c r="O67" i="14" s="1"/>
  <c r="R52" i="14"/>
  <c r="T14" i="14"/>
  <c r="T49" i="14" s="1"/>
  <c r="S64" i="14"/>
  <c r="S12" i="14"/>
  <c r="R62" i="14"/>
  <c r="Q44" i="14"/>
  <c r="Q22" i="14"/>
  <c r="Q29" i="14"/>
  <c r="S8" i="14"/>
  <c r="S20" i="14" s="1"/>
  <c r="R63" i="14"/>
  <c r="Q37" i="14"/>
  <c r="P66" i="7"/>
  <c r="P67" i="7" s="1"/>
  <c r="P88" i="7" s="1"/>
  <c r="T11" i="7"/>
  <c r="T36" i="7" s="1"/>
  <c r="T12" i="7"/>
  <c r="O91" i="7"/>
  <c r="O90" i="7"/>
  <c r="S63" i="7"/>
  <c r="S64" i="7"/>
  <c r="R37" i="7"/>
  <c r="R22" i="7"/>
  <c r="R52" i="7"/>
  <c r="T5" i="7"/>
  <c r="R110" i="11"/>
  <c r="T14" i="7"/>
  <c r="T8" i="7"/>
  <c r="T19" i="7" s="1"/>
  <c r="S42" i="14" l="1"/>
  <c r="S24" i="7"/>
  <c r="S21" i="14"/>
  <c r="T42" i="7"/>
  <c r="T43" i="7"/>
  <c r="T51" i="14"/>
  <c r="U51" i="14" s="1"/>
  <c r="S43" i="14"/>
  <c r="T48" i="14"/>
  <c r="S41" i="14"/>
  <c r="S39" i="14"/>
  <c r="T50" i="14"/>
  <c r="R55" i="14"/>
  <c r="S19" i="14"/>
  <c r="S17" i="14"/>
  <c r="S55" i="14" s="1"/>
  <c r="S18" i="14"/>
  <c r="S40" i="14"/>
  <c r="T48" i="7"/>
  <c r="T18" i="7"/>
  <c r="T21" i="7"/>
  <c r="T49" i="7"/>
  <c r="S27" i="7"/>
  <c r="S55" i="7"/>
  <c r="R29" i="7"/>
  <c r="R56" i="7"/>
  <c r="R60" i="7" s="1"/>
  <c r="T47" i="14"/>
  <c r="S59" i="14"/>
  <c r="T24" i="14"/>
  <c r="S56" i="14"/>
  <c r="T32" i="14"/>
  <c r="S57" i="14"/>
  <c r="T50" i="7"/>
  <c r="T9" i="7"/>
  <c r="T24" i="7" s="1"/>
  <c r="T33" i="7"/>
  <c r="S25" i="7"/>
  <c r="T20" i="7"/>
  <c r="U20" i="7" s="1"/>
  <c r="T51" i="7"/>
  <c r="S57" i="7"/>
  <c r="T40" i="7"/>
  <c r="S59" i="7"/>
  <c r="T47" i="7"/>
  <c r="T17" i="7"/>
  <c r="T39" i="7"/>
  <c r="T34" i="7"/>
  <c r="T32" i="7"/>
  <c r="T41" i="7"/>
  <c r="S26" i="7"/>
  <c r="T26" i="7" s="1"/>
  <c r="T35" i="7"/>
  <c r="S58" i="7"/>
  <c r="S28" i="7"/>
  <c r="AB53" i="16"/>
  <c r="AC52" i="16"/>
  <c r="U53" i="16"/>
  <c r="V52" i="16"/>
  <c r="AB27" i="16"/>
  <c r="AC26" i="16"/>
  <c r="U159" i="16"/>
  <c r="V158" i="16"/>
  <c r="U27" i="16"/>
  <c r="V26" i="16"/>
  <c r="T71" i="14"/>
  <c r="S86" i="14"/>
  <c r="S85" i="14" s="1"/>
  <c r="T81" i="7"/>
  <c r="S86" i="7"/>
  <c r="S85" i="7" s="1"/>
  <c r="O88" i="14"/>
  <c r="O91" i="14" s="1"/>
  <c r="O90" i="14"/>
  <c r="P66" i="14"/>
  <c r="P67" i="14" s="1"/>
  <c r="U14" i="14"/>
  <c r="U49" i="14" s="1"/>
  <c r="T64" i="14"/>
  <c r="Q60" i="14"/>
  <c r="R29" i="14"/>
  <c r="T8" i="14"/>
  <c r="T20" i="14" s="1"/>
  <c r="S63" i="14"/>
  <c r="R22" i="14"/>
  <c r="T12" i="14"/>
  <c r="T42" i="14" s="1"/>
  <c r="S62" i="14"/>
  <c r="R44" i="14"/>
  <c r="S52" i="14"/>
  <c r="R37" i="14"/>
  <c r="Q66" i="7"/>
  <c r="Q67" i="7" s="1"/>
  <c r="Q88" i="7" s="1"/>
  <c r="P91" i="7"/>
  <c r="P90" i="7"/>
  <c r="T63" i="7"/>
  <c r="T64" i="7"/>
  <c r="S44" i="7"/>
  <c r="U11" i="7"/>
  <c r="U36" i="7" s="1"/>
  <c r="R44" i="7"/>
  <c r="U12" i="7"/>
  <c r="U43" i="7" s="1"/>
  <c r="S37" i="7"/>
  <c r="U14" i="7"/>
  <c r="U48" i="7" s="1"/>
  <c r="S52" i="7"/>
  <c r="S22" i="7"/>
  <c r="U5" i="7"/>
  <c r="S110" i="11"/>
  <c r="U8" i="7"/>
  <c r="U47" i="7" l="1"/>
  <c r="T19" i="14"/>
  <c r="T21" i="14"/>
  <c r="T40" i="14"/>
  <c r="T41" i="14"/>
  <c r="U18" i="7"/>
  <c r="T17" i="14"/>
  <c r="T18" i="14"/>
  <c r="U48" i="14"/>
  <c r="S58" i="14"/>
  <c r="T39" i="14"/>
  <c r="U39" i="14" s="1"/>
  <c r="U50" i="14"/>
  <c r="T43" i="14"/>
  <c r="U41" i="7"/>
  <c r="U40" i="7"/>
  <c r="U42" i="7"/>
  <c r="U21" i="7"/>
  <c r="U51" i="7"/>
  <c r="U32" i="14"/>
  <c r="T57" i="14"/>
  <c r="T58" i="14"/>
  <c r="T57" i="7"/>
  <c r="U24" i="14"/>
  <c r="T56" i="14"/>
  <c r="T55" i="14"/>
  <c r="U47" i="14"/>
  <c r="T59" i="14"/>
  <c r="T25" i="7"/>
  <c r="U33" i="7"/>
  <c r="S29" i="7"/>
  <c r="T55" i="7"/>
  <c r="T28" i="7"/>
  <c r="U34" i="7"/>
  <c r="U50" i="7"/>
  <c r="U9" i="7"/>
  <c r="U62" i="7" s="1"/>
  <c r="S56" i="7"/>
  <c r="S60" i="7" s="1"/>
  <c r="U39" i="7"/>
  <c r="U58" i="7" s="1"/>
  <c r="T27" i="7"/>
  <c r="V48" i="7"/>
  <c r="U32" i="7"/>
  <c r="T58" i="7"/>
  <c r="T62" i="7"/>
  <c r="U35" i="7"/>
  <c r="U17" i="7"/>
  <c r="U49" i="7"/>
  <c r="T59" i="7"/>
  <c r="U19" i="7"/>
  <c r="AB54" i="16"/>
  <c r="AC53" i="16"/>
  <c r="U54" i="16"/>
  <c r="V53" i="16"/>
  <c r="AB28" i="16"/>
  <c r="AC28" i="16" s="1"/>
  <c r="AC27" i="16"/>
  <c r="U160" i="16"/>
  <c r="V159" i="16"/>
  <c r="U28" i="16"/>
  <c r="V28" i="16" s="1"/>
  <c r="V27" i="16"/>
  <c r="U71" i="14"/>
  <c r="T86" i="14"/>
  <c r="T85" i="14" s="1"/>
  <c r="U81" i="7"/>
  <c r="T86" i="7"/>
  <c r="T85" i="7" s="1"/>
  <c r="S22" i="14"/>
  <c r="P88" i="14"/>
  <c r="P91" i="14" s="1"/>
  <c r="P90" i="14"/>
  <c r="T52" i="14"/>
  <c r="Q66" i="14"/>
  <c r="Q67" i="14" s="1"/>
  <c r="U8" i="14"/>
  <c r="U20" i="14" s="1"/>
  <c r="T63" i="14"/>
  <c r="V14" i="14"/>
  <c r="V49" i="14" s="1"/>
  <c r="U64" i="14"/>
  <c r="R60" i="14"/>
  <c r="S29" i="14"/>
  <c r="S44" i="14"/>
  <c r="U12" i="14"/>
  <c r="U42" i="14" s="1"/>
  <c r="T62" i="14"/>
  <c r="S37" i="14"/>
  <c r="R66" i="7"/>
  <c r="R67" i="7" s="1"/>
  <c r="R88" i="7" s="1"/>
  <c r="U63" i="7"/>
  <c r="V11" i="7"/>
  <c r="V36" i="7" s="1"/>
  <c r="Q90" i="7"/>
  <c r="Q91" i="7"/>
  <c r="V12" i="7"/>
  <c r="V40" i="7" s="1"/>
  <c r="U64" i="7"/>
  <c r="T44" i="7"/>
  <c r="T22" i="7"/>
  <c r="V5" i="7"/>
  <c r="T110" i="11"/>
  <c r="T52" i="7"/>
  <c r="T37" i="7"/>
  <c r="V14" i="7"/>
  <c r="V47" i="7" s="1"/>
  <c r="V8" i="7"/>
  <c r="V20" i="7" s="1"/>
  <c r="V51" i="14" l="1"/>
  <c r="V48" i="14"/>
  <c r="W48" i="14" s="1"/>
  <c r="U19" i="14"/>
  <c r="U21" i="14"/>
  <c r="V21" i="14" s="1"/>
  <c r="U18" i="14"/>
  <c r="U17" i="14"/>
  <c r="W49" i="14"/>
  <c r="U43" i="14"/>
  <c r="U41" i="14"/>
  <c r="U40" i="14"/>
  <c r="W51" i="14"/>
  <c r="V50" i="14"/>
  <c r="U28" i="7"/>
  <c r="U25" i="7"/>
  <c r="U55" i="7"/>
  <c r="V24" i="14"/>
  <c r="U56" i="14"/>
  <c r="U55" i="14"/>
  <c r="V47" i="14"/>
  <c r="U59" i="14"/>
  <c r="V32" i="14"/>
  <c r="U57" i="14"/>
  <c r="V25" i="7"/>
  <c r="V41" i="7"/>
  <c r="V32" i="7"/>
  <c r="V9" i="7"/>
  <c r="V42" i="7"/>
  <c r="T29" i="7"/>
  <c r="V49" i="7"/>
  <c r="U26" i="7"/>
  <c r="V26" i="7" s="1"/>
  <c r="U57" i="7"/>
  <c r="U24" i="7"/>
  <c r="V24" i="7" s="1"/>
  <c r="V19" i="7"/>
  <c r="V17" i="7"/>
  <c r="U27" i="7"/>
  <c r="V27" i="7" s="1"/>
  <c r="V50" i="7"/>
  <c r="V33" i="7"/>
  <c r="V18" i="7"/>
  <c r="V28" i="7"/>
  <c r="T56" i="7"/>
  <c r="T60" i="7" s="1"/>
  <c r="V21" i="7"/>
  <c r="V43" i="7"/>
  <c r="V35" i="7"/>
  <c r="V39" i="7"/>
  <c r="V34" i="7"/>
  <c r="U59" i="7"/>
  <c r="V51" i="7"/>
  <c r="U52" i="14"/>
  <c r="U55" i="16"/>
  <c r="V54" i="16"/>
  <c r="AB55" i="16"/>
  <c r="AC54" i="16"/>
  <c r="U161" i="16"/>
  <c r="V160" i="16"/>
  <c r="V71" i="14"/>
  <c r="U86" i="14"/>
  <c r="U85" i="14" s="1"/>
  <c r="V81" i="7"/>
  <c r="U86" i="7"/>
  <c r="U85" i="7" s="1"/>
  <c r="Q88" i="14"/>
  <c r="Q91" i="14" s="1"/>
  <c r="Q90" i="14"/>
  <c r="S60" i="14"/>
  <c r="V12" i="14"/>
  <c r="V42" i="14" s="1"/>
  <c r="U62" i="14"/>
  <c r="T44" i="14"/>
  <c r="R66" i="14"/>
  <c r="R67" i="14" s="1"/>
  <c r="T22" i="14"/>
  <c r="W14" i="14"/>
  <c r="V64" i="14"/>
  <c r="T29" i="14"/>
  <c r="V8" i="14"/>
  <c r="V20" i="14" s="1"/>
  <c r="U63" i="14"/>
  <c r="T37" i="14"/>
  <c r="S66" i="7"/>
  <c r="S67" i="7" s="1"/>
  <c r="S88" i="7" s="1"/>
  <c r="R90" i="7"/>
  <c r="R91" i="7"/>
  <c r="V63" i="7"/>
  <c r="V64" i="7"/>
  <c r="W12" i="7"/>
  <c r="V62" i="7"/>
  <c r="W11" i="7"/>
  <c r="W36" i="7" s="1"/>
  <c r="U44" i="7"/>
  <c r="U52" i="7"/>
  <c r="U22" i="7"/>
  <c r="W14" i="7"/>
  <c r="W48" i="7" s="1"/>
  <c r="U37" i="7"/>
  <c r="W5" i="7"/>
  <c r="U110" i="11"/>
  <c r="W8" i="7"/>
  <c r="V17" i="14" l="1"/>
  <c r="V40" i="14"/>
  <c r="V19" i="14"/>
  <c r="V39" i="14"/>
  <c r="W39" i="14" s="1"/>
  <c r="W50" i="14"/>
  <c r="U58" i="14"/>
  <c r="V18" i="14"/>
  <c r="V41" i="14"/>
  <c r="V43" i="14"/>
  <c r="W47" i="7"/>
  <c r="W35" i="7"/>
  <c r="W42" i="7"/>
  <c r="W33" i="7"/>
  <c r="X33" i="7" s="1"/>
  <c r="W50" i="7"/>
  <c r="W43" i="7"/>
  <c r="W39" i="7"/>
  <c r="W32" i="7"/>
  <c r="U29" i="7"/>
  <c r="V55" i="7"/>
  <c r="U56" i="7"/>
  <c r="U60" i="7" s="1"/>
  <c r="W47" i="14"/>
  <c r="V59" i="14"/>
  <c r="V55" i="14"/>
  <c r="W32" i="14"/>
  <c r="V57" i="14"/>
  <c r="W24" i="14"/>
  <c r="V56" i="14"/>
  <c r="W49" i="7"/>
  <c r="X49" i="7" s="1"/>
  <c r="W41" i="7"/>
  <c r="W51" i="7"/>
  <c r="V57" i="7"/>
  <c r="W19" i="7"/>
  <c r="W21" i="7"/>
  <c r="V59" i="7"/>
  <c r="V58" i="7"/>
  <c r="W20" i="7"/>
  <c r="W17" i="7"/>
  <c r="W34" i="7"/>
  <c r="X34" i="7" s="1"/>
  <c r="W18" i="7"/>
  <c r="V56" i="7"/>
  <c r="W9" i="7"/>
  <c r="W26" i="7" s="1"/>
  <c r="W40" i="7"/>
  <c r="U56" i="16"/>
  <c r="V55" i="16"/>
  <c r="AB56" i="16"/>
  <c r="AC55" i="16"/>
  <c r="U162" i="16"/>
  <c r="V161" i="16"/>
  <c r="W71" i="14"/>
  <c r="W86" i="14" s="1"/>
  <c r="W85" i="14" s="1"/>
  <c r="V86" i="14"/>
  <c r="V85" i="14" s="1"/>
  <c r="W81" i="7"/>
  <c r="W86" i="7" s="1"/>
  <c r="W85" i="7" s="1"/>
  <c r="V86" i="7"/>
  <c r="V85" i="7" s="1"/>
  <c r="R88" i="14"/>
  <c r="R91" i="14" s="1"/>
  <c r="R90" i="14"/>
  <c r="S66" i="14"/>
  <c r="S67" i="14" s="1"/>
  <c r="T60" i="14"/>
  <c r="U22" i="14"/>
  <c r="V52" i="14"/>
  <c r="W8" i="14"/>
  <c r="W20" i="14" s="1"/>
  <c r="V63" i="14"/>
  <c r="U44" i="14"/>
  <c r="W12" i="14"/>
  <c r="W42" i="14" s="1"/>
  <c r="V62" i="14"/>
  <c r="U29" i="14"/>
  <c r="X14" i="14"/>
  <c r="X64" i="14" s="1"/>
  <c r="W64" i="14"/>
  <c r="U37" i="14"/>
  <c r="X12" i="7"/>
  <c r="W62" i="7"/>
  <c r="V44" i="7"/>
  <c r="W64" i="7"/>
  <c r="S90" i="7"/>
  <c r="S91" i="7"/>
  <c r="T66" i="7"/>
  <c r="T67" i="7" s="1"/>
  <c r="T88" i="7" s="1"/>
  <c r="X11" i="7"/>
  <c r="W63" i="7"/>
  <c r="V37" i="14"/>
  <c r="V37" i="7"/>
  <c r="V29" i="7"/>
  <c r="X14" i="7"/>
  <c r="X48" i="7" s="1"/>
  <c r="V22" i="7"/>
  <c r="X5" i="7"/>
  <c r="V110" i="11"/>
  <c r="V52" i="7"/>
  <c r="X8" i="7"/>
  <c r="X47" i="7" l="1"/>
  <c r="W28" i="7"/>
  <c r="V58" i="14"/>
  <c r="X49" i="14"/>
  <c r="W24" i="7"/>
  <c r="X43" i="7"/>
  <c r="X48" i="14"/>
  <c r="X51" i="14"/>
  <c r="W18" i="14"/>
  <c r="W41" i="14"/>
  <c r="W17" i="14"/>
  <c r="X50" i="14"/>
  <c r="W40" i="14"/>
  <c r="W43" i="14"/>
  <c r="W19" i="14"/>
  <c r="W21" i="14"/>
  <c r="X41" i="7"/>
  <c r="W59" i="7"/>
  <c r="X19" i="7"/>
  <c r="X51" i="7"/>
  <c r="X32" i="14"/>
  <c r="X57" i="14" s="1"/>
  <c r="W57" i="14"/>
  <c r="X24" i="14"/>
  <c r="X56" i="14" s="1"/>
  <c r="W56" i="14"/>
  <c r="X47" i="14"/>
  <c r="W59" i="14"/>
  <c r="X18" i="7"/>
  <c r="W58" i="7"/>
  <c r="W27" i="7"/>
  <c r="X32" i="7"/>
  <c r="X17" i="7"/>
  <c r="W57" i="7"/>
  <c r="W25" i="7"/>
  <c r="X42" i="7"/>
  <c r="X40" i="7"/>
  <c r="X35" i="7"/>
  <c r="X21" i="7"/>
  <c r="W55" i="7"/>
  <c r="X9" i="7"/>
  <c r="X62" i="7" s="1"/>
  <c r="X20" i="7"/>
  <c r="X50" i="7"/>
  <c r="X39" i="7"/>
  <c r="X36" i="7"/>
  <c r="U57" i="16"/>
  <c r="V56" i="16"/>
  <c r="AB57" i="16"/>
  <c r="AC56" i="16"/>
  <c r="U163" i="16"/>
  <c r="V162" i="16"/>
  <c r="W52" i="14"/>
  <c r="T66" i="14"/>
  <c r="T67" i="14" s="1"/>
  <c r="S88" i="14"/>
  <c r="S91" i="14" s="1"/>
  <c r="S90" i="14"/>
  <c r="V22" i="14"/>
  <c r="V29" i="14"/>
  <c r="X8" i="14"/>
  <c r="X63" i="14" s="1"/>
  <c r="W63" i="14"/>
  <c r="U60" i="14"/>
  <c r="X12" i="14"/>
  <c r="X42" i="14" s="1"/>
  <c r="W62" i="14"/>
  <c r="V44" i="14"/>
  <c r="U66" i="7"/>
  <c r="U67" i="7" s="1"/>
  <c r="U88" i="7" s="1"/>
  <c r="X64" i="7"/>
  <c r="X63" i="7"/>
  <c r="T90" i="7"/>
  <c r="T91" i="7"/>
  <c r="W44" i="7"/>
  <c r="V60" i="7"/>
  <c r="W37" i="7"/>
  <c r="W52" i="7"/>
  <c r="W22" i="7"/>
  <c r="X39" i="14" l="1"/>
  <c r="X17" i="14"/>
  <c r="X59" i="7"/>
  <c r="X59" i="14"/>
  <c r="X43" i="14"/>
  <c r="X41" i="14"/>
  <c r="X40" i="14"/>
  <c r="X58" i="14" s="1"/>
  <c r="X18" i="14"/>
  <c r="X55" i="14" s="1"/>
  <c r="W55" i="14"/>
  <c r="X21" i="14"/>
  <c r="X20" i="14"/>
  <c r="W58" i="14"/>
  <c r="X19" i="14"/>
  <c r="W56" i="7"/>
  <c r="X58" i="7"/>
  <c r="W29" i="7"/>
  <c r="X57" i="7"/>
  <c r="X55" i="7"/>
  <c r="X27" i="7"/>
  <c r="X25" i="7"/>
  <c r="X24" i="7"/>
  <c r="X28" i="7"/>
  <c r="X26" i="7"/>
  <c r="AB58" i="16"/>
  <c r="AC57" i="16"/>
  <c r="U58" i="16"/>
  <c r="V57" i="16"/>
  <c r="U164" i="16"/>
  <c r="V163" i="16"/>
  <c r="X52" i="14"/>
  <c r="T90" i="14"/>
  <c r="T88" i="14"/>
  <c r="T91" i="14" s="1"/>
  <c r="X62" i="14"/>
  <c r="W44" i="14"/>
  <c r="U66" i="14"/>
  <c r="U67" i="14" s="1"/>
  <c r="W22" i="14"/>
  <c r="V60" i="14"/>
  <c r="X29" i="14"/>
  <c r="W29" i="14"/>
  <c r="W37" i="14"/>
  <c r="V66" i="7"/>
  <c r="V67" i="7" s="1"/>
  <c r="V88" i="7" s="1"/>
  <c r="X52" i="7"/>
  <c r="U90" i="7"/>
  <c r="U91" i="7"/>
  <c r="W60" i="7"/>
  <c r="X22" i="7"/>
  <c r="X37" i="14"/>
  <c r="X37" i="7"/>
  <c r="X56" i="7" l="1"/>
  <c r="X29" i="7"/>
  <c r="U59" i="16"/>
  <c r="V58" i="16"/>
  <c r="AB59" i="16"/>
  <c r="AC58" i="16"/>
  <c r="U165" i="16"/>
  <c r="V164" i="16"/>
  <c r="W66" i="7"/>
  <c r="W67" i="7" s="1"/>
  <c r="W88" i="7" s="1"/>
  <c r="U90" i="14"/>
  <c r="U88" i="14"/>
  <c r="U91" i="14" s="1"/>
  <c r="X22" i="14"/>
  <c r="X60" i="7"/>
  <c r="X44" i="7"/>
  <c r="X44" i="14"/>
  <c r="V66" i="14"/>
  <c r="V67" i="14" s="1"/>
  <c r="W60" i="14"/>
  <c r="V91" i="7"/>
  <c r="V90" i="7"/>
  <c r="U60" i="16" l="1"/>
  <c r="V59" i="16"/>
  <c r="AB60" i="16"/>
  <c r="AC59" i="16"/>
  <c r="U166" i="16"/>
  <c r="V165" i="16"/>
  <c r="X60" i="14"/>
  <c r="X66" i="14" s="1"/>
  <c r="X67" i="14" s="1"/>
  <c r="X66" i="7"/>
  <c r="X67" i="7" s="1"/>
  <c r="V90" i="14"/>
  <c r="V88" i="14"/>
  <c r="V91" i="14" s="1"/>
  <c r="W66" i="14"/>
  <c r="W67" i="14" s="1"/>
  <c r="W90" i="7"/>
  <c r="W91" i="7"/>
  <c r="U61" i="16" l="1"/>
  <c r="V60" i="16"/>
  <c r="AB61" i="16"/>
  <c r="AC60" i="16"/>
  <c r="U167" i="16"/>
  <c r="V166" i="16"/>
  <c r="W88" i="14"/>
  <c r="W91" i="14" s="1"/>
  <c r="M112" i="11" s="1"/>
  <c r="W90" i="14"/>
  <c r="U62" i="16" l="1"/>
  <c r="V61" i="16"/>
  <c r="AB62" i="16"/>
  <c r="AC61" i="16"/>
  <c r="U168" i="16"/>
  <c r="V167" i="16"/>
  <c r="U112" i="11"/>
  <c r="O112" i="11"/>
  <c r="K112" i="11"/>
  <c r="Q112" i="11"/>
  <c r="P112" i="11"/>
  <c r="D112" i="11"/>
  <c r="V112" i="11"/>
  <c r="R112" i="11"/>
  <c r="J112" i="11"/>
  <c r="S112" i="11"/>
  <c r="L112" i="11"/>
  <c r="T112" i="11"/>
  <c r="C112" i="11"/>
  <c r="H112" i="11"/>
  <c r="G112" i="11"/>
  <c r="I112" i="11"/>
  <c r="N112" i="11"/>
  <c r="E112" i="11"/>
  <c r="F112" i="11"/>
  <c r="B112" i="11"/>
  <c r="AB63" i="16" l="1"/>
  <c r="AC62" i="16"/>
  <c r="U63" i="16"/>
  <c r="V62" i="16"/>
  <c r="U169" i="16"/>
  <c r="V168" i="16"/>
  <c r="AB64" i="16" l="1"/>
  <c r="AC63" i="16"/>
  <c r="U64" i="16"/>
  <c r="V63" i="16"/>
  <c r="U170" i="16"/>
  <c r="V169" i="16"/>
  <c r="AB65" i="16" l="1"/>
  <c r="AC64" i="16"/>
  <c r="U65" i="16"/>
  <c r="V64" i="16"/>
  <c r="U171" i="16"/>
  <c r="V170" i="16"/>
  <c r="AB66" i="16" l="1"/>
  <c r="AC65" i="16"/>
  <c r="U66" i="16"/>
  <c r="V65" i="16"/>
  <c r="U172" i="16"/>
  <c r="V171" i="16"/>
  <c r="AB67" i="16" l="1"/>
  <c r="AC66" i="16"/>
  <c r="U67" i="16"/>
  <c r="V66" i="16"/>
  <c r="U173" i="16"/>
  <c r="V172" i="16"/>
  <c r="AB68" i="16" l="1"/>
  <c r="AC67" i="16"/>
  <c r="U68" i="16"/>
  <c r="V67" i="16"/>
  <c r="U174" i="16"/>
  <c r="V173" i="16"/>
  <c r="AB69" i="16" l="1"/>
  <c r="AC68" i="16"/>
  <c r="U69" i="16"/>
  <c r="V68" i="16"/>
  <c r="U175" i="16"/>
  <c r="V174" i="16"/>
  <c r="AB70" i="16" l="1"/>
  <c r="AC69" i="16"/>
  <c r="U70" i="16"/>
  <c r="V69" i="16"/>
  <c r="U176" i="16"/>
  <c r="V175" i="16"/>
  <c r="U71" i="16" l="1"/>
  <c r="V70" i="16"/>
  <c r="AB71" i="16"/>
  <c r="AC70" i="16"/>
  <c r="U177" i="16"/>
  <c r="V176" i="16"/>
  <c r="AB72" i="16" l="1"/>
  <c r="AC71" i="16"/>
  <c r="U72" i="16"/>
  <c r="V71" i="16"/>
  <c r="U178" i="16"/>
  <c r="V177" i="16"/>
  <c r="AB73" i="16" l="1"/>
  <c r="AC72" i="16"/>
  <c r="U73" i="16"/>
  <c r="V72" i="16"/>
  <c r="U179" i="16"/>
  <c r="V178" i="16"/>
  <c r="AB74" i="16" l="1"/>
  <c r="AC73" i="16"/>
  <c r="U74" i="16"/>
  <c r="V73" i="16"/>
  <c r="U180" i="16"/>
  <c r="V179" i="16"/>
  <c r="AB75" i="16" l="1"/>
  <c r="AC74" i="16"/>
  <c r="U75" i="16"/>
  <c r="V74" i="16"/>
  <c r="U181" i="16"/>
  <c r="V180" i="16"/>
  <c r="U76" i="16" l="1"/>
  <c r="V75" i="16"/>
  <c r="AB76" i="16"/>
  <c r="AC75" i="16"/>
  <c r="U182" i="16"/>
  <c r="V181" i="16"/>
  <c r="U77" i="16" l="1"/>
  <c r="V76" i="16"/>
  <c r="AB77" i="16"/>
  <c r="AC76" i="16"/>
  <c r="U183" i="16"/>
  <c r="V182" i="16"/>
  <c r="U78" i="16" l="1"/>
  <c r="V77" i="16"/>
  <c r="AB78" i="16"/>
  <c r="AC77" i="16"/>
  <c r="U184" i="16"/>
  <c r="V183" i="16"/>
  <c r="U79" i="16" l="1"/>
  <c r="V78" i="16"/>
  <c r="AB79" i="16"/>
  <c r="AC78" i="16"/>
  <c r="U185" i="16"/>
  <c r="V184" i="16"/>
  <c r="U80" i="16" l="1"/>
  <c r="V79" i="16"/>
  <c r="AB80" i="16"/>
  <c r="AC79" i="16"/>
  <c r="U186" i="16"/>
  <c r="V185" i="16"/>
  <c r="U81" i="16" l="1"/>
  <c r="V80" i="16"/>
  <c r="AB81" i="16"/>
  <c r="AC80" i="16"/>
  <c r="U187" i="16"/>
  <c r="V186" i="16"/>
  <c r="U82" i="16" l="1"/>
  <c r="V81" i="16"/>
  <c r="AB82" i="16"/>
  <c r="AC81" i="16"/>
  <c r="U188" i="16"/>
  <c r="V187" i="16"/>
  <c r="U83" i="16" l="1"/>
  <c r="V82" i="16"/>
  <c r="AB83" i="16"/>
  <c r="AC82" i="16"/>
  <c r="U189" i="16"/>
  <c r="V188" i="16"/>
  <c r="U84" i="16" l="1"/>
  <c r="V83" i="16"/>
  <c r="AB84" i="16"/>
  <c r="AC83" i="16"/>
  <c r="U190" i="16"/>
  <c r="V190" i="16" s="1"/>
  <c r="V189" i="16"/>
  <c r="AB85" i="16" l="1"/>
  <c r="AC84" i="16"/>
  <c r="U85" i="16"/>
  <c r="V84" i="16"/>
  <c r="AB86" i="16" l="1"/>
  <c r="AC85" i="16"/>
  <c r="U86" i="16"/>
  <c r="V85" i="16"/>
  <c r="AB87" i="16" l="1"/>
  <c r="AC86" i="16"/>
  <c r="U87" i="16"/>
  <c r="V86" i="16"/>
  <c r="AB88" i="16" l="1"/>
  <c r="AC87" i="16"/>
  <c r="U88" i="16"/>
  <c r="V87" i="16"/>
  <c r="U89" i="16" l="1"/>
  <c r="V88" i="16"/>
  <c r="AB89" i="16"/>
  <c r="AC88" i="16"/>
  <c r="U90" i="16" l="1"/>
  <c r="V89" i="16"/>
  <c r="AB90" i="16"/>
  <c r="AC89" i="16"/>
  <c r="U91" i="16" l="1"/>
  <c r="V90" i="16"/>
  <c r="AB91" i="16"/>
  <c r="AC90" i="16"/>
  <c r="U92" i="16" l="1"/>
  <c r="V91" i="16"/>
  <c r="AB92" i="16"/>
  <c r="AC91" i="16"/>
  <c r="U93" i="16" l="1"/>
  <c r="V92" i="16"/>
  <c r="AB93" i="16"/>
  <c r="AC92" i="16"/>
  <c r="U94" i="16" l="1"/>
  <c r="V93" i="16"/>
  <c r="AB94" i="16"/>
  <c r="AC93" i="16"/>
  <c r="AB95" i="16" l="1"/>
  <c r="AC94" i="16"/>
  <c r="U95" i="16"/>
  <c r="V94" i="16"/>
  <c r="AB96" i="16" l="1"/>
  <c r="AC95" i="16"/>
  <c r="U96" i="16"/>
  <c r="V95" i="16"/>
  <c r="U97" i="16" l="1"/>
  <c r="V96" i="16"/>
  <c r="AB97" i="16"/>
  <c r="AC96" i="16"/>
  <c r="AB98" i="16" l="1"/>
  <c r="AC97" i="16"/>
  <c r="U98" i="16"/>
  <c r="V97" i="16"/>
  <c r="U99" i="16" l="1"/>
  <c r="V98" i="16"/>
  <c r="AB99" i="16"/>
  <c r="AC98" i="16"/>
  <c r="AB100" i="16" l="1"/>
  <c r="AC99" i="16"/>
  <c r="U100" i="16"/>
  <c r="V99" i="16"/>
  <c r="U101" i="16" l="1"/>
  <c r="V100" i="16"/>
  <c r="AB101" i="16"/>
  <c r="AC100" i="16"/>
  <c r="AB102" i="16" l="1"/>
  <c r="AC101" i="16"/>
  <c r="U102" i="16"/>
  <c r="V101" i="16"/>
  <c r="U103" i="16" l="1"/>
  <c r="V102" i="16"/>
  <c r="AB103" i="16"/>
  <c r="AC102" i="16"/>
  <c r="U104" i="16" l="1"/>
  <c r="V103" i="16"/>
  <c r="AB104" i="16"/>
  <c r="AC103" i="16"/>
  <c r="AB105" i="16" l="1"/>
  <c r="AC104" i="16"/>
  <c r="U105" i="16"/>
  <c r="V104" i="16"/>
  <c r="AB106" i="16" l="1"/>
  <c r="AC105" i="16"/>
  <c r="U106" i="16"/>
  <c r="V105" i="16"/>
  <c r="U107" i="16" l="1"/>
  <c r="V106" i="16"/>
  <c r="AB107" i="16"/>
  <c r="AC106" i="16"/>
  <c r="U108" i="16" l="1"/>
  <c r="V107" i="16"/>
  <c r="AB108" i="16"/>
  <c r="AC107" i="16"/>
  <c r="U109" i="16" l="1"/>
  <c r="V108" i="16"/>
  <c r="AB109" i="16"/>
  <c r="AC108" i="16"/>
  <c r="U110" i="16" l="1"/>
  <c r="V109" i="16"/>
  <c r="AB110" i="16"/>
  <c r="AC109" i="16"/>
  <c r="AB111" i="16" l="1"/>
  <c r="AC110" i="16"/>
  <c r="U111" i="16"/>
  <c r="V110" i="16"/>
  <c r="AB112" i="16" l="1"/>
  <c r="AC111" i="16"/>
  <c r="U112" i="16"/>
  <c r="V111" i="16"/>
  <c r="AB113" i="16" l="1"/>
  <c r="AC112" i="16"/>
  <c r="U113" i="16"/>
  <c r="V112" i="16"/>
  <c r="AB114" i="16" l="1"/>
  <c r="AC113" i="16"/>
  <c r="U114" i="16"/>
  <c r="V113" i="16"/>
  <c r="AB115" i="16" l="1"/>
  <c r="AC114" i="16"/>
  <c r="U115" i="16"/>
  <c r="V114" i="16"/>
  <c r="AB116" i="16" l="1"/>
  <c r="AC115" i="16"/>
  <c r="U116" i="16"/>
  <c r="V115" i="16"/>
  <c r="U117" i="16" l="1"/>
  <c r="V116" i="16"/>
  <c r="AB117" i="16"/>
  <c r="AC116" i="16"/>
  <c r="AB118" i="16" l="1"/>
  <c r="AC117" i="16"/>
  <c r="U118" i="16"/>
  <c r="V117" i="16"/>
  <c r="U119" i="16" l="1"/>
  <c r="V118" i="16"/>
  <c r="AB119" i="16"/>
  <c r="AC118" i="16"/>
  <c r="U120" i="16" l="1"/>
  <c r="V119" i="16"/>
  <c r="AB120" i="16"/>
  <c r="AC119" i="16"/>
  <c r="U121" i="16" l="1"/>
  <c r="V120" i="16"/>
  <c r="AB121" i="16"/>
  <c r="AC120" i="16"/>
  <c r="AB122" i="16" l="1"/>
  <c r="AC121" i="16"/>
  <c r="U122" i="16"/>
  <c r="V121" i="16"/>
  <c r="AB123" i="16" l="1"/>
  <c r="AC122" i="16"/>
  <c r="U123" i="16"/>
  <c r="V122" i="16"/>
  <c r="AB124" i="16" l="1"/>
  <c r="AC123" i="16"/>
  <c r="U124" i="16"/>
  <c r="V123" i="16"/>
  <c r="U125" i="16" l="1"/>
  <c r="V124" i="16"/>
  <c r="AB125" i="16"/>
  <c r="AC124" i="16"/>
  <c r="U126" i="16" l="1"/>
  <c r="V125" i="16"/>
  <c r="AB126" i="16"/>
  <c r="AC125" i="16"/>
  <c r="U127" i="16" l="1"/>
  <c r="V126" i="16"/>
  <c r="AB127" i="16"/>
  <c r="AC126" i="16"/>
  <c r="U128" i="16" l="1"/>
  <c r="V127" i="16"/>
  <c r="AB128" i="16"/>
  <c r="AC127" i="16"/>
  <c r="U129" i="16" l="1"/>
  <c r="V128" i="16"/>
  <c r="AB129" i="16"/>
  <c r="AC128" i="16"/>
  <c r="U130" i="16" l="1"/>
  <c r="V129" i="16"/>
  <c r="AB130" i="16"/>
  <c r="AC129" i="16"/>
  <c r="U131" i="16" l="1"/>
  <c r="V130" i="16"/>
  <c r="AB131" i="16"/>
  <c r="AC130" i="16"/>
  <c r="AB132" i="16" l="1"/>
  <c r="AC131" i="16"/>
  <c r="U132" i="16"/>
  <c r="V131" i="16"/>
  <c r="U133" i="16" l="1"/>
  <c r="V132" i="16"/>
  <c r="AB133" i="16"/>
  <c r="AC132" i="16"/>
  <c r="U134" i="16" l="1"/>
  <c r="V134" i="16" s="1"/>
  <c r="V133" i="16"/>
  <c r="AB134" i="16"/>
  <c r="AC134" i="16" s="1"/>
  <c r="AC1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Wichman, Casey J</author>
  </authors>
  <commentList>
    <comment ref="A10" authorId="0" shapeId="0" xr:uid="{00000000-0006-0000-0100-000001000000}">
      <text>
        <r>
          <rPr>
            <sz val="9"/>
            <color indexed="81"/>
            <rFont val="Tahoma"/>
            <family val="2"/>
          </rPr>
          <t>If your utility has uniform rates, either (a) input zero values for all block sizes and just input rates under  "Block Rate 1," or (b) input the same Existing Rate for all blocks (which allows contrasting against a new rate structure that is not uniform).</t>
        </r>
      </text>
    </comment>
    <comment ref="I10" authorId="0" shapeId="0" xr:uid="{00000000-0006-0000-0100-000002000000}">
      <text>
        <r>
          <rPr>
            <sz val="9"/>
            <color indexed="81"/>
            <rFont val="Tahoma"/>
            <family val="2"/>
          </rPr>
          <t>If your utility has uniform rates, either (a) input zero values for all block sizes and just input rates under  "Block Rate 1," or (b) input the same Existing Rate for all blocks (which allows contrasting against a new rate structure that is not uniform).</t>
        </r>
      </text>
    </comment>
    <comment ref="A14" authorId="0" shapeId="0" xr:uid="{00000000-0006-0000-0100-000003000000}">
      <text>
        <r>
          <rPr>
            <b/>
            <u/>
            <sz val="9"/>
            <color indexed="81"/>
            <rFont val="Tahoma"/>
            <family val="2"/>
          </rPr>
          <t xml:space="preserve">If using block rates: </t>
        </r>
        <r>
          <rPr>
            <b/>
            <sz val="9"/>
            <color indexed="81"/>
            <rFont val="Tahoma"/>
            <family val="2"/>
          </rPr>
          <t xml:space="preserve">
</t>
        </r>
        <r>
          <rPr>
            <sz val="9"/>
            <color indexed="81"/>
            <rFont val="Tahoma"/>
            <family val="2"/>
          </rPr>
          <t>Input Final Block Rate here regardless of the number of blocks your utility uses.</t>
        </r>
      </text>
    </comment>
    <comment ref="I14" authorId="0" shapeId="0" xr:uid="{00000000-0006-0000-0100-000004000000}">
      <text>
        <r>
          <rPr>
            <b/>
            <u/>
            <sz val="9"/>
            <color indexed="81"/>
            <rFont val="Tahoma"/>
            <family val="2"/>
          </rPr>
          <t xml:space="preserve">If using block rates: </t>
        </r>
        <r>
          <rPr>
            <b/>
            <sz val="9"/>
            <color indexed="81"/>
            <rFont val="Tahoma"/>
            <family val="2"/>
          </rPr>
          <t xml:space="preserve">
</t>
        </r>
        <r>
          <rPr>
            <sz val="9"/>
            <color indexed="81"/>
            <rFont val="Tahoma"/>
            <family val="2"/>
          </rPr>
          <t>Input Final Block Rate here regardless of the number of blocks your utility uses.</t>
        </r>
      </text>
    </comment>
    <comment ref="A18" authorId="0" shapeId="0" xr:uid="{00000000-0006-0000-0100-000005000000}">
      <text>
        <r>
          <rPr>
            <sz val="9"/>
            <color indexed="81"/>
            <rFont val="Tahoma"/>
            <family val="2"/>
          </rPr>
          <t>If your utility has uniform rates, either (a) input zero values for all block sizes and just input rates under  "Block Rate 1," or (b) input the same Existing Rate for all blocks (which allows contrasting against a new rate structure that is not uniform).</t>
        </r>
      </text>
    </comment>
    <comment ref="I18" authorId="0" shapeId="0" xr:uid="{00000000-0006-0000-0100-000006000000}">
      <text>
        <r>
          <rPr>
            <sz val="9"/>
            <color indexed="81"/>
            <rFont val="Tahoma"/>
            <family val="2"/>
          </rPr>
          <t>If your utility has uniform rates, either (a) input zero values for all block sizes and just input rates under  "Block Rate 1," or (b) input the same Existing Rate for all blocks (which allows contrasting against a new rate structure that is not uniform).</t>
        </r>
      </text>
    </comment>
    <comment ref="A22" authorId="0" shapeId="0" xr:uid="{00000000-0006-0000-0100-000007000000}">
      <text>
        <r>
          <rPr>
            <b/>
            <u/>
            <sz val="9"/>
            <color indexed="81"/>
            <rFont val="Tahoma"/>
            <family val="2"/>
          </rPr>
          <t>If using block rates:</t>
        </r>
        <r>
          <rPr>
            <b/>
            <sz val="9"/>
            <color indexed="81"/>
            <rFont val="Tahoma"/>
            <family val="2"/>
          </rPr>
          <t xml:space="preserve"> 
</t>
        </r>
        <r>
          <rPr>
            <sz val="9"/>
            <color indexed="81"/>
            <rFont val="Tahoma"/>
            <family val="2"/>
          </rPr>
          <t>Input Final Block Rate here regardless of the number of blocks your utility uses.</t>
        </r>
      </text>
    </comment>
    <comment ref="I22" authorId="0" shapeId="0" xr:uid="{00000000-0006-0000-0100-000008000000}">
      <text>
        <r>
          <rPr>
            <b/>
            <u/>
            <sz val="9"/>
            <color indexed="81"/>
            <rFont val="Tahoma"/>
            <family val="2"/>
          </rPr>
          <t xml:space="preserve">If using block rates: </t>
        </r>
        <r>
          <rPr>
            <b/>
            <sz val="9"/>
            <color indexed="81"/>
            <rFont val="Tahoma"/>
            <family val="2"/>
          </rPr>
          <t xml:space="preserve">
</t>
        </r>
        <r>
          <rPr>
            <sz val="9"/>
            <color indexed="81"/>
            <rFont val="Tahoma"/>
            <family val="2"/>
          </rPr>
          <t>Input Final Block Rate here regardless of the number of blocks your utility uses.</t>
        </r>
      </text>
    </comment>
    <comment ref="A29" authorId="0" shapeId="0" xr:uid="{00000000-0006-0000-0100-000009000000}">
      <text>
        <r>
          <rPr>
            <sz val="9"/>
            <color indexed="81"/>
            <rFont val="Tahoma"/>
            <family val="2"/>
          </rPr>
          <t>If your utility has uniform rates, either (a) input zero values for all block sizes and just input rates under  "Block Rate 1," or (b) input the same Existing Rate for all blocks (which allows contrasting against a new rate structure that is not uniform).</t>
        </r>
      </text>
    </comment>
    <comment ref="A33" authorId="0" shapeId="0" xr:uid="{00000000-0006-0000-0100-00000A000000}">
      <text>
        <r>
          <rPr>
            <b/>
            <u/>
            <sz val="9"/>
            <color indexed="81"/>
            <rFont val="Tahoma"/>
            <family val="2"/>
          </rPr>
          <t xml:space="preserve">If using block rates: </t>
        </r>
        <r>
          <rPr>
            <b/>
            <sz val="9"/>
            <color indexed="81"/>
            <rFont val="Tahoma"/>
            <family val="2"/>
          </rPr>
          <t xml:space="preserve">
</t>
        </r>
        <r>
          <rPr>
            <sz val="9"/>
            <color indexed="81"/>
            <rFont val="Tahoma"/>
            <family val="2"/>
          </rPr>
          <t>Input Final Block Rate here regardless of the number of blocks your utility uses.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Shadi Eskaf</author>
  </authors>
  <commentList>
    <comment ref="G14" authorId="0" shapeId="0" xr:uid="{00000000-0006-0000-0200-000001000000}">
      <text>
        <r>
          <rPr>
            <sz val="9"/>
            <color indexed="81"/>
            <rFont val="Tahoma"/>
            <family val="2"/>
          </rPr>
          <t>Salaries of employees who work for the water or sewer system. It can include part of an employee's time, like administrative personnel.</t>
        </r>
      </text>
    </comment>
  </commentList>
</comments>
</file>

<file path=xl/sharedStrings.xml><?xml version="1.0" encoding="utf-8"?>
<sst xmlns="http://schemas.openxmlformats.org/spreadsheetml/2006/main" count="437" uniqueCount="178">
  <si>
    <t>Commercial</t>
  </si>
  <si>
    <t>Supplies</t>
  </si>
  <si>
    <t>Expenses</t>
  </si>
  <si>
    <t>Miscellaneous</t>
  </si>
  <si>
    <t>Water Base Rate</t>
  </si>
  <si>
    <t>Sewer Base Rate</t>
  </si>
  <si>
    <t>Residential</t>
  </si>
  <si>
    <t>Water Customers</t>
  </si>
  <si>
    <t>Sewer Customers</t>
  </si>
  <si>
    <t>Residential Rates</t>
  </si>
  <si>
    <t>Commercial Rates</t>
  </si>
  <si>
    <t>Existing</t>
  </si>
  <si>
    <t>New</t>
  </si>
  <si>
    <t>Uncollected Bills</t>
  </si>
  <si>
    <t>Total Revenue</t>
  </si>
  <si>
    <t>Sewer Tap Fees</t>
  </si>
  <si>
    <t>Water Tap Fees</t>
  </si>
  <si>
    <t>Rate Structure</t>
  </si>
  <si>
    <t>Block Start:</t>
  </si>
  <si>
    <t>Block End:</t>
  </si>
  <si>
    <t>gal/mo</t>
  </si>
  <si>
    <t>Irrigation Base Rate</t>
  </si>
  <si>
    <t>Growth</t>
  </si>
  <si>
    <t>Residential Water</t>
  </si>
  <si>
    <t>Residential Sewer</t>
  </si>
  <si>
    <t>Commercial Water</t>
  </si>
  <si>
    <t>Commerical Sewer</t>
  </si>
  <si>
    <t>Irrigation</t>
  </si>
  <si>
    <t>Number</t>
  </si>
  <si>
    <t>of Accounts</t>
  </si>
  <si>
    <t>=</t>
  </si>
  <si>
    <t>Irrigation Tap Fees</t>
  </si>
  <si>
    <t>Data to be entered, can be changed</t>
  </si>
  <si>
    <t>White:</t>
  </si>
  <si>
    <r>
      <t>Black</t>
    </r>
    <r>
      <rPr>
        <sz val="12"/>
        <rFont val="Times New Roman"/>
        <family val="1"/>
      </rPr>
      <t xml:space="preserve">: </t>
    </r>
  </si>
  <si>
    <t>Important Results</t>
  </si>
  <si>
    <r>
      <t>Red</t>
    </r>
    <r>
      <rPr>
        <sz val="12"/>
        <rFont val="Times New Roman"/>
        <family val="1"/>
      </rPr>
      <t>:</t>
    </r>
  </si>
  <si>
    <t>Data Input Color Explanation:</t>
  </si>
  <si>
    <t>Water:</t>
  </si>
  <si>
    <t>Block Rate 1 ($/1,000 gal)</t>
  </si>
  <si>
    <t>Block Rate 2 ($/1,000 gal)</t>
  </si>
  <si>
    <t>Block Rate 3 ($/1,000 gal)</t>
  </si>
  <si>
    <t>Block Rate 4 ($/1,000 gal)</t>
  </si>
  <si>
    <t>Sewer:</t>
  </si>
  <si>
    <t>Irrigation:</t>
  </si>
  <si>
    <t>Irrigation Customers</t>
  </si>
  <si>
    <t>Residential Consumption (gal/month)</t>
  </si>
  <si>
    <t>Commercial Consumption (gal/month)</t>
  </si>
  <si>
    <t>Irrigation Consumption (gal/month)</t>
  </si>
  <si>
    <t>Monthly Consumption</t>
  </si>
  <si>
    <t>(gallons per month)</t>
  </si>
  <si>
    <t>Water Block 2:</t>
  </si>
  <si>
    <t>Water Block 3:</t>
  </si>
  <si>
    <t>Water Block 4:</t>
  </si>
  <si>
    <t>Sewer Block 2:</t>
  </si>
  <si>
    <t>Sewer Block 3:</t>
  </si>
  <si>
    <t>Sewer Block 4:</t>
  </si>
  <si>
    <t>FY:</t>
  </si>
  <si>
    <t>(gal/month)</t>
  </si>
  <si>
    <t>($ per year)</t>
  </si>
  <si>
    <t>Residential Water Consumption:</t>
  </si>
  <si>
    <t>Residential Sewer Consumption:</t>
  </si>
  <si>
    <t>Commercial Water Consumption:</t>
  </si>
  <si>
    <t>Commercial Sewer Consumption:</t>
  </si>
  <si>
    <t>Irrigation Consumption:</t>
  </si>
  <si>
    <t>Revenue:</t>
  </si>
  <si>
    <t>Commercial Sewer</t>
  </si>
  <si>
    <t>Sub-total:</t>
  </si>
  <si>
    <t>Input current rate and account information in the dark green cells to analyze projected cashflows from rate changes.</t>
  </si>
  <si>
    <t>Inflation of utility expenses (%/year)</t>
  </si>
  <si>
    <t>Final Block Rate ($/1,000 gal)</t>
  </si>
  <si>
    <t>Residential:</t>
  </si>
  <si>
    <t>Commercial:</t>
  </si>
  <si>
    <t>Starting Fund Balance</t>
  </si>
  <si>
    <t>Final Water Block:</t>
  </si>
  <si>
    <t>Fund Balance Policy:</t>
  </si>
  <si>
    <t>20-Year Projected Finances Under New and Existing Rates</t>
  </si>
  <si>
    <t>Enter the minimum target for end-of-year fund balance.</t>
  </si>
  <si>
    <t>Inputs: Water Sales (Consumption) and Utility Finances</t>
  </si>
  <si>
    <t>Inputs: Rates and Rate Structures</t>
  </si>
  <si>
    <t>gallons</t>
  </si>
  <si>
    <t>cubic feet</t>
  </si>
  <si>
    <r>
      <t xml:space="preserve">Fund Balances Under </t>
    </r>
    <r>
      <rPr>
        <b/>
        <u/>
        <sz val="14"/>
        <color rgb="FF000000"/>
        <rFont val="Arial"/>
        <family val="2"/>
      </rPr>
      <t>Existing</t>
    </r>
    <r>
      <rPr>
        <b/>
        <sz val="14"/>
        <color rgb="FF000000"/>
        <rFont val="Arial"/>
        <family val="2"/>
      </rPr>
      <t xml:space="preserve"> Rates</t>
    </r>
  </si>
  <si>
    <r>
      <t xml:space="preserve">Fund Balances Under </t>
    </r>
    <r>
      <rPr>
        <b/>
        <u/>
        <sz val="14"/>
        <color rgb="FF000000"/>
        <rFont val="Arial"/>
        <family val="2"/>
      </rPr>
      <t>Proposed New</t>
    </r>
    <r>
      <rPr>
        <b/>
        <sz val="14"/>
        <color rgb="FF000000"/>
        <rFont val="Arial"/>
        <family val="2"/>
      </rPr>
      <t xml:space="preserve"> Rates</t>
    </r>
  </si>
  <si>
    <t>cubic feet to gallons converter</t>
  </si>
  <si>
    <t>$/ccf to $/1000 gallons converter</t>
  </si>
  <si>
    <t>/hundred cubic feet</t>
  </si>
  <si>
    <t>/1,000 gallons</t>
  </si>
  <si>
    <t>Input rates in $/1000 gallons</t>
  </si>
  <si>
    <t>Use the converters above for converting from cubic feet units</t>
  </si>
  <si>
    <t>Average Sewer Fees</t>
  </si>
  <si>
    <t>Average Water Fees</t>
  </si>
  <si>
    <t>Average Irrigation Fees</t>
  </si>
  <si>
    <t>Irrigation Meter Rates (All Customer Types)</t>
  </si>
  <si>
    <t>Irrigation Meter</t>
  </si>
  <si>
    <t>Total Expected Expenses (excl. capital expenses):</t>
  </si>
  <si>
    <t>Ending Fiscal Year:</t>
  </si>
  <si>
    <t>Funded by the Public Water Supply Section, Division of Water Resources at the NC Department of Environment and Natural Resources, and the U.S. Environmental Protection Agency</t>
  </si>
  <si>
    <t>Funded by the Public Water Supply Section, Division of Water Resources at the NC Department of Environment and Natural Resources, 
and the U.S. Environmental Protection Agency</t>
  </si>
  <si>
    <t>Input block sizes (start and end) in gallons/month</t>
  </si>
  <si>
    <t>Automatically calculated data; do not change!</t>
  </si>
  <si>
    <t>Calculated total water sold per month:</t>
  </si>
  <si>
    <t>This tool is designed to assist utilities in modeling the potential cash-flow impacts of a change to their water and / or wastewater rates. However, use of this tool by itself is not a substitute for a rmore detailed rates study, which should occur periodically.</t>
  </si>
  <si>
    <t>Rate %/year</t>
  </si>
  <si>
    <t>This year with existing rates</t>
  </si>
  <si>
    <t>This year</t>
  </si>
  <si>
    <t>Forecast starting from next year using existing rates</t>
  </si>
  <si>
    <t>Forecast starting from next year using proposed new rates</t>
  </si>
  <si>
    <t>Monthly Charge Under New Rates</t>
  </si>
  <si>
    <t>Monthly Charge Under Existing Rates</t>
  </si>
  <si>
    <t>Existing Marginal Price</t>
  </si>
  <si>
    <t>New Marginal Price</t>
  </si>
  <si>
    <t>Water</t>
  </si>
  <si>
    <t>Residential Bills</t>
  </si>
  <si>
    <t>Sewer</t>
  </si>
  <si>
    <t>Commercial Bills</t>
  </si>
  <si>
    <t>Irrigation Bills</t>
  </si>
  <si>
    <t>Gallons/month</t>
  </si>
  <si>
    <t>Compare Monthly Charges Under Existing and New Rate Structures</t>
  </si>
  <si>
    <t>Water and Sewer Rates Analysis Model</t>
  </si>
  <si>
    <t>Download the latest version of this tool at http://efc.sog.unc.edu. Find it in Resources / Tools.</t>
  </si>
  <si>
    <t>Download the lastest version of this tool at http://efc.sog.unc.edu. Find it in Resources / Tools.</t>
  </si>
  <si>
    <t>Utility Expenses Excluding Debt Service</t>
  </si>
  <si>
    <t>Lab</t>
  </si>
  <si>
    <t>Inflation of Utility Expenses (%/year)</t>
  </si>
  <si>
    <t>User Inputted</t>
  </si>
  <si>
    <t>Change in Average Consumption Every Year (%/year)</t>
  </si>
  <si>
    <t>Data check: avg. residential monthly water use:</t>
  </si>
  <si>
    <t>% Increase</t>
  </si>
  <si>
    <r>
      <t>Total of One-Time Fees to Connect New Customer</t>
    </r>
    <r>
      <rPr>
        <b/>
        <sz val="10"/>
        <rFont val="Arial"/>
        <family val="2"/>
      </rPr>
      <t xml:space="preserve"> (Tap Fees, Connection Fees, Impact Fees, etc.)</t>
    </r>
  </si>
  <si>
    <t>Copyright © 2014 Environmental Finance Center at the University of North Carolina, Chapel Hill. efc.sog.unc.edu</t>
  </si>
  <si>
    <t>Taxes</t>
  </si>
  <si>
    <t>All expenses in this box are assumed to grow linearly every year at a constant rate</t>
  </si>
  <si>
    <t>Assumptions: Changes in Water Use</t>
  </si>
  <si>
    <t>Debt Service and Other Known Annual Expenses</t>
  </si>
  <si>
    <t>Enter debt service (principal + interest) and all other capital and non-capital expenses that are known for each individual year and are excluded from the "Utility Expenses" box.</t>
  </si>
  <si>
    <t>Enter all expenses that are not listed in the "Debt Service and Other Known Annual Expenses" box. All expenses in this box are assumed to grow linearly at a constant rate.</t>
  </si>
  <si>
    <t>Salaries and wages, including part-time and contracts</t>
  </si>
  <si>
    <t>Energy and utilities</t>
  </si>
  <si>
    <t>Administrative expenses</t>
  </si>
  <si>
    <t>Routine repairs &amp; maintenance</t>
  </si>
  <si>
    <t>Water purchase</t>
  </si>
  <si>
    <t>Miscellaneous annual expenses</t>
  </si>
  <si>
    <t>Total Expected Expenses:</t>
  </si>
  <si>
    <t>Net Revenue:</t>
  </si>
  <si>
    <t>Revenue-to-Expense Ratio:</t>
  </si>
  <si>
    <t>Year End Balance:</t>
  </si>
  <si>
    <r>
      <t xml:space="preserve">Depreciation </t>
    </r>
    <r>
      <rPr>
        <i/>
        <u/>
        <sz val="10"/>
        <color theme="0"/>
        <rFont val="Arial"/>
        <family val="2"/>
      </rPr>
      <t>or</t>
    </r>
    <r>
      <rPr>
        <sz val="10"/>
        <color theme="0"/>
        <rFont val="Arial"/>
        <family val="2"/>
      </rPr>
      <t xml:space="preserve"> Cash Capital Expenses excluded from "Debt Service" box</t>
    </r>
  </si>
  <si>
    <t>Consultants, service providers, trainings</t>
  </si>
  <si>
    <t>Hypothetical example of water system with a block rate structure</t>
  </si>
  <si>
    <t>Block 1:</t>
  </si>
  <si>
    <t>Block 2:</t>
  </si>
  <si>
    <t>Block 3:</t>
  </si>
  <si>
    <t>Look at the water records for residential customers only for the fiscal year of analysis</t>
  </si>
  <si>
    <t>in 1000 gallons</t>
  </si>
  <si>
    <t>Account number</t>
  </si>
  <si>
    <t>Service Address</t>
  </si>
  <si>
    <t>Period</t>
  </si>
  <si>
    <t>Water volume total</t>
  </si>
  <si>
    <t>Water volume block 1</t>
  </si>
  <si>
    <t>Water volume block 2</t>
  </si>
  <si>
    <t>Water volume final block</t>
  </si>
  <si>
    <t>Check your work (must equal column D)</t>
  </si>
  <si>
    <t>123 Main Street</t>
  </si>
  <si>
    <t>987 Olympic Route</t>
  </si>
  <si>
    <t>etc.</t>
  </si>
  <si>
    <t>Convert to monthly estimates (divide by 12)</t>
  </si>
  <si>
    <t>&lt;--- these are system-wide total gallons/month across all customers of this type during this year</t>
  </si>
  <si>
    <t>Repeat for residential water, residential sewer, non-residential water, non-residential sewer, all irrigation</t>
  </si>
  <si>
    <t>3001-8,000 gallons:        $2.25/1000 gallons</t>
  </si>
  <si>
    <t>All over 8,000 gallons:   $4.25/1000 gallons</t>
  </si>
  <si>
    <t>0 - 3,000 gallons:             $1.75/1000 gallons</t>
  </si>
  <si>
    <t>Complete the table above for all customers and then calculate…</t>
  </si>
  <si>
    <r>
      <t xml:space="preserve">Grand Totals </t>
    </r>
    <r>
      <rPr>
        <i/>
        <sz val="11"/>
        <color theme="1"/>
        <rFont val="Calibri"/>
        <family val="2"/>
        <scheme val="minor"/>
      </rPr>
      <t>for these two example</t>
    </r>
    <r>
      <rPr>
        <sz val="11"/>
        <color theme="1"/>
        <rFont val="Calibri"/>
        <family val="2"/>
        <scheme val="minor"/>
      </rPr>
      <t xml:space="preserve"> customers for the full year</t>
    </r>
  </si>
  <si>
    <r>
      <t xml:space="preserve">Grand Totals for </t>
    </r>
    <r>
      <rPr>
        <i/>
        <sz val="11"/>
        <color theme="1"/>
        <rFont val="Calibri"/>
        <family val="2"/>
        <scheme val="minor"/>
      </rPr>
      <t>ALL</t>
    </r>
    <r>
      <rPr>
        <sz val="11"/>
        <color theme="1"/>
        <rFont val="Calibri"/>
        <family val="2"/>
        <scheme val="minor"/>
      </rPr>
      <t xml:space="preserve"> customers of this type for the full year</t>
    </r>
  </si>
  <si>
    <t>View example of how to determine consumption by blocks</t>
  </si>
  <si>
    <t>Return to Data Input 2</t>
  </si>
  <si>
    <t>Provide feedback or ask questions by emailing Shadi Eskaf at eskaf@sog.unc.edu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</si>
</sst>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quot;$&quot;#,##0"/>
    <numFmt numFmtId="167" formatCode="0.000000"/>
    <numFmt numFmtId="168" formatCode="_(* #,##0_);_(* \(#,##0\);_(* &quot;-&quot;??_);_(@_)"/>
    <numFmt numFmtId="169" formatCode="_(&quot;$&quot;* #,##0_);_(&quot;$&quot;* \(#,##0\);_(&quot;$&quot;*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12"/>
      <name val="Arial"/>
      <family val="2"/>
    </font>
    <font>
      <sz val="10"/>
      <name val="Arial"/>
      <family val="2"/>
    </font>
    <font>
      <b/>
      <sz val="12"/>
      <name val="Arial"/>
      <family val="2"/>
    </font>
    <font>
      <sz val="8"/>
      <name val="Arial"/>
      <family val="2"/>
    </font>
    <font>
      <b/>
      <sz val="11"/>
      <name val="Arial"/>
      <family val="2"/>
    </font>
    <font>
      <sz val="12"/>
      <name val="Times New Roman"/>
      <family val="1"/>
    </font>
    <font>
      <b/>
      <sz val="12"/>
      <color indexed="12"/>
      <name val="Times New Roman"/>
      <family val="1"/>
    </font>
    <font>
      <b/>
      <sz val="12"/>
      <name val="Times New Roman"/>
      <family val="1"/>
    </font>
    <font>
      <b/>
      <sz val="12"/>
      <color indexed="10"/>
      <name val="Times New Roman"/>
      <family val="1"/>
    </font>
    <font>
      <i/>
      <sz val="10"/>
      <name val="Arial"/>
      <family val="2"/>
    </font>
    <font>
      <b/>
      <sz val="10"/>
      <color theme="0"/>
      <name val="Arial"/>
      <family val="2"/>
    </font>
    <font>
      <b/>
      <sz val="14"/>
      <color theme="0"/>
      <name val="Arial"/>
      <family val="2"/>
    </font>
    <font>
      <b/>
      <sz val="20"/>
      <color theme="0"/>
      <name val="Arial"/>
      <family val="2"/>
    </font>
    <font>
      <b/>
      <i/>
      <sz val="11"/>
      <color theme="0"/>
      <name val="Arial"/>
      <family val="2"/>
    </font>
    <font>
      <b/>
      <sz val="12"/>
      <color theme="0"/>
      <name val="Times New Roman"/>
      <family val="1"/>
    </font>
    <font>
      <sz val="10"/>
      <color rgb="FF00B050"/>
      <name val="Arial"/>
      <family val="2"/>
    </font>
    <font>
      <i/>
      <sz val="12"/>
      <name val="Times New Roman"/>
      <family val="1"/>
    </font>
    <font>
      <b/>
      <sz val="14"/>
      <name val="Arial"/>
      <family val="2"/>
    </font>
    <font>
      <b/>
      <sz val="9"/>
      <color indexed="81"/>
      <name val="Tahoma"/>
      <family val="2"/>
    </font>
    <font>
      <b/>
      <i/>
      <sz val="10"/>
      <name val="Arial"/>
      <family val="2"/>
    </font>
    <font>
      <b/>
      <sz val="12"/>
      <color theme="6" tint="0.79998168889431442"/>
      <name val="Arial"/>
      <family val="2"/>
    </font>
    <font>
      <i/>
      <sz val="10"/>
      <color theme="4" tint="-0.499984740745262"/>
      <name val="Arial"/>
      <family val="2"/>
    </font>
    <font>
      <b/>
      <sz val="14"/>
      <color rgb="FF000000"/>
      <name val="Arial"/>
      <family val="2"/>
    </font>
    <font>
      <b/>
      <sz val="11"/>
      <color theme="0"/>
      <name val="Arial"/>
      <family val="2"/>
    </font>
    <font>
      <b/>
      <u/>
      <sz val="14"/>
      <color rgb="FF000000"/>
      <name val="Arial"/>
      <family val="2"/>
    </font>
    <font>
      <i/>
      <sz val="9"/>
      <color theme="4" tint="-0.499984740745262"/>
      <name val="Arial"/>
      <family val="2"/>
    </font>
    <font>
      <b/>
      <u/>
      <sz val="9"/>
      <color indexed="81"/>
      <name val="Tahoma"/>
      <family val="2"/>
    </font>
    <font>
      <i/>
      <sz val="10"/>
      <color rgb="FFFF0000"/>
      <name val="Arial"/>
      <family val="2"/>
    </font>
    <font>
      <b/>
      <sz val="12"/>
      <color theme="0"/>
      <name val="Arial"/>
      <family val="2"/>
    </font>
    <font>
      <u/>
      <sz val="10"/>
      <color theme="10"/>
      <name val="Arial"/>
      <family val="2"/>
    </font>
    <font>
      <sz val="9"/>
      <color indexed="81"/>
      <name val="Tahoma"/>
      <family val="2"/>
    </font>
    <font>
      <sz val="11"/>
      <color rgb="FFFF0000"/>
      <name val="Calibri"/>
      <family val="2"/>
      <scheme val="minor"/>
    </font>
    <font>
      <b/>
      <sz val="11"/>
      <color theme="1"/>
      <name val="Calibri"/>
      <family val="2"/>
      <scheme val="minor"/>
    </font>
    <font>
      <sz val="10"/>
      <color theme="0"/>
      <name val="Arial"/>
      <family val="2"/>
    </font>
    <font>
      <i/>
      <u/>
      <sz val="10"/>
      <color theme="0"/>
      <name val="Arial"/>
      <family val="2"/>
    </font>
    <font>
      <b/>
      <i/>
      <sz val="11"/>
      <color theme="1"/>
      <name val="Calibri"/>
      <family val="2"/>
      <scheme val="minor"/>
    </font>
    <font>
      <i/>
      <sz val="11"/>
      <color theme="1"/>
      <name val="Calibri"/>
      <family val="2"/>
      <scheme val="minor"/>
    </font>
    <font>
      <sz val="11"/>
      <name val="Calibri"/>
      <family val="2"/>
      <scheme val="minor"/>
    </font>
    <font>
      <strike/>
      <sz val="11"/>
      <color theme="1"/>
      <name val="Calibri"/>
      <family val="2"/>
      <scheme val="minor"/>
    </font>
    <font>
      <u/>
      <sz val="11"/>
      <color theme="10"/>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5" tint="-0.499984740745262"/>
        <bgColor indexed="64"/>
      </patternFill>
    </fill>
    <fill>
      <patternFill patternType="solid">
        <fgColor rgb="FFEAF1DD"/>
        <bgColor indexed="64"/>
      </patternFill>
    </fill>
    <fill>
      <patternFill patternType="solid">
        <fgColor theme="4" tint="0.79998168889431442"/>
        <bgColor indexed="64"/>
      </patternFill>
    </fill>
  </fills>
  <borders count="38">
    <border>
      <left/>
      <right/>
      <top/>
      <bottom/>
      <diagonal/>
    </border>
    <border>
      <left/>
      <right/>
      <top style="medium">
        <color auto="1"/>
      </top>
      <bottom/>
      <diagonal/>
    </border>
    <border>
      <left/>
      <right/>
      <top style="thin">
        <color auto="1"/>
      </top>
      <bottom/>
      <diagonal/>
    </border>
    <border>
      <left style="thin">
        <color auto="1"/>
      </left>
      <right/>
      <top/>
      <bottom/>
      <diagonal/>
    </border>
    <border>
      <left/>
      <right/>
      <top/>
      <bottom style="double">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medium">
        <color auto="1"/>
      </bottom>
      <diagonal/>
    </border>
  </borders>
  <cellStyleXfs count="8">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 fillId="0" borderId="0"/>
    <xf numFmtId="0" fontId="35" fillId="0" borderId="0" applyNumberFormat="0" applyFill="0" applyBorder="0" applyAlignment="0" applyProtection="0"/>
    <xf numFmtId="0" fontId="2" fillId="0" borderId="0"/>
    <xf numFmtId="43" fontId="2" fillId="0" borderId="0" applyFont="0" applyFill="0" applyBorder="0" applyAlignment="0" applyProtection="0"/>
  </cellStyleXfs>
  <cellXfs count="353">
    <xf numFmtId="0" fontId="0" fillId="0" borderId="0" xfId="0"/>
    <xf numFmtId="0" fontId="0" fillId="2" borderId="0" xfId="0" applyFill="1"/>
    <xf numFmtId="0" fontId="7" fillId="2" borderId="5" xfId="0" applyFont="1" applyFill="1" applyBorder="1" applyAlignment="1">
      <alignment horizontal="left" indent="1"/>
    </xf>
    <xf numFmtId="164" fontId="7" fillId="2" borderId="0" xfId="0" applyNumberFormat="1" applyFont="1" applyFill="1" applyBorder="1" applyAlignment="1">
      <alignment horizontal="center"/>
    </xf>
    <xf numFmtId="164" fontId="6" fillId="2" borderId="6" xfId="0" applyNumberFormat="1" applyFont="1" applyFill="1" applyBorder="1" applyAlignment="1">
      <alignment horizontal="center"/>
    </xf>
    <xf numFmtId="0" fontId="7" fillId="2" borderId="1" xfId="0" applyFont="1" applyFill="1" applyBorder="1" applyAlignment="1">
      <alignment horizontal="left" indent="1"/>
    </xf>
    <xf numFmtId="0" fontId="0" fillId="2" borderId="1" xfId="0" applyFill="1" applyBorder="1"/>
    <xf numFmtId="0" fontId="7" fillId="2" borderId="0" xfId="0" applyFont="1" applyFill="1" applyBorder="1" applyAlignment="1">
      <alignment horizontal="left" indent="1"/>
    </xf>
    <xf numFmtId="0" fontId="7" fillId="2" borderId="0" xfId="0" applyFont="1" applyFill="1" applyBorder="1" applyAlignment="1">
      <alignment horizontal="left"/>
    </xf>
    <xf numFmtId="0" fontId="7" fillId="2" borderId="0" xfId="0" applyFont="1" applyFill="1" applyBorder="1" applyAlignment="1"/>
    <xf numFmtId="168" fontId="7" fillId="2" borderId="0" xfId="1" applyNumberFormat="1" applyFont="1" applyFill="1" applyBorder="1" applyAlignment="1"/>
    <xf numFmtId="168" fontId="7" fillId="2" borderId="11" xfId="1" applyNumberFormat="1" applyFont="1" applyFill="1" applyBorder="1" applyAlignment="1"/>
    <xf numFmtId="0" fontId="7" fillId="2" borderId="11" xfId="0" applyFont="1" applyFill="1" applyBorder="1" applyAlignment="1">
      <alignment horizontal="left"/>
    </xf>
    <xf numFmtId="164" fontId="6" fillId="2" borderId="0" xfId="0" applyNumberFormat="1" applyFont="1" applyFill="1" applyBorder="1" applyAlignment="1">
      <alignment horizontal="center"/>
    </xf>
    <xf numFmtId="0" fontId="7" fillId="2" borderId="0" xfId="0" applyFont="1" applyFill="1"/>
    <xf numFmtId="0" fontId="0" fillId="2" borderId="5" xfId="0" applyFill="1" applyBorder="1"/>
    <xf numFmtId="0" fontId="0" fillId="2" borderId="0" xfId="0" applyFill="1" applyBorder="1"/>
    <xf numFmtId="0" fontId="0" fillId="2" borderId="0" xfId="0" applyFill="1" applyBorder="1" applyAlignment="1">
      <alignment horizontal="right"/>
    </xf>
    <xf numFmtId="0" fontId="0" fillId="2" borderId="6" xfId="0" applyFill="1" applyBorder="1"/>
    <xf numFmtId="0" fontId="0" fillId="2" borderId="7" xfId="0" applyFill="1" applyBorder="1"/>
    <xf numFmtId="0" fontId="0" fillId="2" borderId="11" xfId="0" applyFill="1" applyBorder="1"/>
    <xf numFmtId="0" fontId="0" fillId="2" borderId="11" xfId="0" applyFill="1" applyBorder="1" applyAlignment="1">
      <alignment horizontal="right"/>
    </xf>
    <xf numFmtId="0" fontId="8" fillId="4" borderId="8" xfId="0" applyFont="1" applyFill="1" applyBorder="1"/>
    <xf numFmtId="0" fontId="8" fillId="4" borderId="1" xfId="0" applyFont="1" applyFill="1" applyBorder="1"/>
    <xf numFmtId="0" fontId="5" fillId="4" borderId="1" xfId="0" applyFont="1" applyFill="1" applyBorder="1" applyAlignment="1">
      <alignment horizontal="center"/>
    </xf>
    <xf numFmtId="0" fontId="5" fillId="4" borderId="9" xfId="0" applyFont="1" applyFill="1" applyBorder="1" applyAlignment="1">
      <alignment horizontal="center"/>
    </xf>
    <xf numFmtId="0" fontId="5" fillId="4" borderId="7" xfId="0" applyFont="1" applyFill="1" applyBorder="1" applyAlignment="1">
      <alignment horizontal="left"/>
    </xf>
    <xf numFmtId="0" fontId="5" fillId="4" borderId="11" xfId="0" applyFont="1" applyFill="1" applyBorder="1" applyAlignment="1">
      <alignment horizontal="left"/>
    </xf>
    <xf numFmtId="0" fontId="5" fillId="4" borderId="12" xfId="0" applyFont="1" applyFill="1" applyBorder="1" applyAlignment="1">
      <alignment horizontal="center"/>
    </xf>
    <xf numFmtId="168" fontId="0" fillId="2" borderId="0" xfId="0" applyNumberFormat="1" applyFill="1"/>
    <xf numFmtId="0" fontId="0" fillId="2" borderId="5" xfId="0" applyFill="1" applyBorder="1" applyAlignment="1">
      <alignment horizontal="right"/>
    </xf>
    <xf numFmtId="0" fontId="11" fillId="2" borderId="13" xfId="0" applyFont="1" applyFill="1" applyBorder="1" applyAlignment="1"/>
    <xf numFmtId="0" fontId="0" fillId="2" borderId="14" xfId="0" applyFill="1" applyBorder="1"/>
    <xf numFmtId="0" fontId="13" fillId="2" borderId="14" xfId="0" applyFont="1" applyFill="1" applyBorder="1" applyAlignment="1">
      <alignment horizontal="left" indent="2"/>
    </xf>
    <xf numFmtId="0" fontId="20" fillId="3" borderId="15" xfId="0" applyFont="1" applyFill="1" applyBorder="1" applyAlignment="1">
      <alignment horizontal="right"/>
    </xf>
    <xf numFmtId="0" fontId="11" fillId="2" borderId="16" xfId="0" applyFont="1" applyFill="1" applyBorder="1" applyAlignment="1"/>
    <xf numFmtId="0" fontId="12" fillId="2" borderId="17" xfId="0" applyFont="1" applyFill="1" applyBorder="1" applyAlignment="1">
      <alignment horizontal="left" indent="2"/>
    </xf>
    <xf numFmtId="0" fontId="0" fillId="2" borderId="17" xfId="0" applyFill="1" applyBorder="1"/>
    <xf numFmtId="0" fontId="0" fillId="2" borderId="18" xfId="0" applyFill="1" applyBorder="1"/>
    <xf numFmtId="0" fontId="13" fillId="2" borderId="19" xfId="0" applyFont="1" applyFill="1" applyBorder="1" applyAlignment="1">
      <alignment horizontal="right"/>
    </xf>
    <xf numFmtId="0" fontId="0" fillId="2" borderId="20" xfId="0" applyFill="1" applyBorder="1"/>
    <xf numFmtId="0" fontId="14" fillId="2" borderId="21" xfId="0" applyFont="1" applyFill="1" applyBorder="1" applyAlignment="1">
      <alignment horizontal="right"/>
    </xf>
    <xf numFmtId="0" fontId="11" fillId="2" borderId="22" xfId="0" applyFont="1" applyFill="1" applyBorder="1" applyAlignment="1">
      <alignment horizontal="left"/>
    </xf>
    <xf numFmtId="0" fontId="14" fillId="2" borderId="23" xfId="0" applyFont="1" applyFill="1" applyBorder="1" applyAlignment="1">
      <alignment horizontal="left" indent="2"/>
    </xf>
    <xf numFmtId="0" fontId="0" fillId="2" borderId="23" xfId="0" applyFill="1" applyBorder="1"/>
    <xf numFmtId="0" fontId="0" fillId="2" borderId="24" xfId="0" applyFill="1" applyBorder="1"/>
    <xf numFmtId="0" fontId="7" fillId="2" borderId="5" xfId="0" applyFont="1" applyFill="1" applyBorder="1" applyAlignment="1">
      <alignment horizontal="right"/>
    </xf>
    <xf numFmtId="0" fontId="8" fillId="4" borderId="1" xfId="0" applyFont="1" applyFill="1" applyBorder="1" applyAlignment="1">
      <alignment horizontal="right"/>
    </xf>
    <xf numFmtId="0" fontId="0" fillId="2" borderId="8" xfId="0" applyFill="1" applyBorder="1"/>
    <xf numFmtId="0" fontId="7" fillId="2" borderId="0" xfId="0" applyFont="1" applyFill="1" applyBorder="1"/>
    <xf numFmtId="0" fontId="7" fillId="2" borderId="6" xfId="0" applyFont="1" applyFill="1" applyBorder="1"/>
    <xf numFmtId="0" fontId="7" fillId="2" borderId="12" xfId="0" applyFont="1" applyFill="1" applyBorder="1"/>
    <xf numFmtId="0" fontId="7" fillId="2" borderId="8" xfId="0" applyFont="1" applyFill="1" applyBorder="1" applyAlignment="1">
      <alignment horizontal="left" indent="1"/>
    </xf>
    <xf numFmtId="0" fontId="5" fillId="4" borderId="0" xfId="0" applyFont="1" applyFill="1" applyBorder="1" applyAlignment="1">
      <alignment horizontal="center"/>
    </xf>
    <xf numFmtId="0" fontId="5" fillId="4" borderId="6" xfId="0" applyFont="1" applyFill="1" applyBorder="1" applyAlignment="1">
      <alignment horizontal="center"/>
    </xf>
    <xf numFmtId="0" fontId="5" fillId="4" borderId="5" xfId="0" applyFont="1" applyFill="1" applyBorder="1" applyAlignment="1">
      <alignment horizontal="left"/>
    </xf>
    <xf numFmtId="0" fontId="5" fillId="4" borderId="0" xfId="0" applyFont="1" applyFill="1" applyBorder="1" applyAlignment="1">
      <alignment horizontal="left"/>
    </xf>
    <xf numFmtId="0" fontId="8" fillId="4" borderId="5" xfId="0" applyFont="1" applyFill="1" applyBorder="1"/>
    <xf numFmtId="0" fontId="0" fillId="2" borderId="8" xfId="0" applyFill="1" applyBorder="1" applyAlignment="1">
      <alignment horizontal="right"/>
    </xf>
    <xf numFmtId="0" fontId="0" fillId="2" borderId="1" xfId="0" applyFill="1" applyBorder="1" applyAlignment="1">
      <alignment horizontal="right"/>
    </xf>
    <xf numFmtId="0" fontId="4" fillId="2" borderId="5" xfId="0" applyFont="1" applyFill="1" applyBorder="1" applyAlignment="1">
      <alignment horizontal="left" indent="1"/>
    </xf>
    <xf numFmtId="0" fontId="4" fillId="2" borderId="0" xfId="0" applyFont="1" applyFill="1"/>
    <xf numFmtId="0" fontId="4" fillId="2" borderId="8" xfId="0" applyFont="1" applyFill="1" applyBorder="1" applyAlignment="1">
      <alignment horizontal="left" indent="1"/>
    </xf>
    <xf numFmtId="0" fontId="4" fillId="2" borderId="5" xfId="0" applyFont="1" applyFill="1" applyBorder="1" applyAlignment="1">
      <alignment horizontal="right"/>
    </xf>
    <xf numFmtId="0" fontId="4" fillId="2" borderId="0" xfId="0" applyFont="1" applyFill="1" applyBorder="1" applyAlignment="1">
      <alignment horizontal="left"/>
    </xf>
    <xf numFmtId="0" fontId="15" fillId="2" borderId="5" xfId="0" applyFont="1" applyFill="1" applyBorder="1" applyAlignment="1">
      <alignment horizontal="left" indent="1"/>
    </xf>
    <xf numFmtId="168" fontId="16" fillId="2" borderId="11" xfId="1" applyNumberFormat="1" applyFont="1" applyFill="1" applyBorder="1" applyAlignment="1"/>
    <xf numFmtId="0" fontId="4" fillId="2" borderId="7" xfId="0" applyFont="1" applyFill="1" applyBorder="1" applyAlignment="1">
      <alignment horizontal="right"/>
    </xf>
    <xf numFmtId="0" fontId="4" fillId="2" borderId="7" xfId="0" applyFont="1" applyFill="1" applyBorder="1" applyAlignment="1">
      <alignment horizontal="left" indent="1"/>
    </xf>
    <xf numFmtId="0" fontId="25" fillId="2" borderId="5" xfId="0" applyFont="1" applyFill="1" applyBorder="1" applyAlignment="1">
      <alignment horizontal="left"/>
    </xf>
    <xf numFmtId="0" fontId="15" fillId="2" borderId="0" xfId="0" applyFont="1" applyFill="1" applyBorder="1"/>
    <xf numFmtId="0" fontId="4" fillId="2" borderId="0" xfId="0" applyFont="1" applyFill="1" applyBorder="1"/>
    <xf numFmtId="0" fontId="25" fillId="2" borderId="5" xfId="0" applyFont="1" applyFill="1" applyBorder="1"/>
    <xf numFmtId="0" fontId="4" fillId="2" borderId="11" xfId="0" applyFont="1" applyFill="1" applyBorder="1"/>
    <xf numFmtId="0" fontId="27" fillId="2" borderId="0" xfId="4" applyFont="1" applyFill="1" applyAlignment="1"/>
    <xf numFmtId="0" fontId="28" fillId="2" borderId="0" xfId="0" applyFont="1" applyFill="1" applyAlignment="1">
      <alignment horizontal="center" vertical="center"/>
    </xf>
    <xf numFmtId="0" fontId="15" fillId="2" borderId="0" xfId="0" applyFont="1" applyFill="1"/>
    <xf numFmtId="0" fontId="0" fillId="2" borderId="0" xfId="0" applyFill="1" applyAlignment="1">
      <alignment vertical="center"/>
    </xf>
    <xf numFmtId="0" fontId="4" fillId="2" borderId="8" xfId="0" applyFont="1" applyFill="1" applyBorder="1" applyAlignment="1">
      <alignment horizontal="right"/>
    </xf>
    <xf numFmtId="0" fontId="16" fillId="3" borderId="29" xfId="0" applyFont="1" applyFill="1" applyBorder="1" applyAlignment="1" applyProtection="1">
      <alignment horizontal="center"/>
      <protection locked="0"/>
    </xf>
    <xf numFmtId="164" fontId="16" fillId="3" borderId="29" xfId="0" applyNumberFormat="1" applyFont="1" applyFill="1" applyBorder="1" applyAlignment="1" applyProtection="1">
      <alignment horizontal="center"/>
      <protection locked="0"/>
    </xf>
    <xf numFmtId="164" fontId="16" fillId="3" borderId="33" xfId="0" applyNumberFormat="1" applyFont="1" applyFill="1" applyBorder="1" applyAlignment="1" applyProtection="1">
      <alignment horizontal="center"/>
      <protection locked="0"/>
    </xf>
    <xf numFmtId="164" fontId="16" fillId="3" borderId="28" xfId="0" applyNumberFormat="1" applyFont="1" applyFill="1" applyBorder="1" applyAlignment="1" applyProtection="1">
      <alignment horizontal="center"/>
      <protection locked="0"/>
    </xf>
    <xf numFmtId="164" fontId="16" fillId="3" borderId="30" xfId="0" applyNumberFormat="1" applyFont="1" applyFill="1" applyBorder="1" applyAlignment="1" applyProtection="1">
      <alignment horizontal="center"/>
      <protection locked="0"/>
    </xf>
    <xf numFmtId="168" fontId="16" fillId="3" borderId="28" xfId="1" applyNumberFormat="1" applyFont="1" applyFill="1" applyBorder="1" applyAlignment="1" applyProtection="1">
      <protection locked="0"/>
    </xf>
    <xf numFmtId="164" fontId="16" fillId="3" borderId="34" xfId="0" applyNumberFormat="1" applyFont="1" applyFill="1" applyBorder="1" applyAlignment="1" applyProtection="1">
      <alignment horizontal="center"/>
      <protection locked="0"/>
    </xf>
    <xf numFmtId="164" fontId="16" fillId="3" borderId="32" xfId="0" applyNumberFormat="1" applyFont="1" applyFill="1" applyBorder="1" applyAlignment="1" applyProtection="1">
      <alignment horizontal="center"/>
      <protection locked="0"/>
    </xf>
    <xf numFmtId="164" fontId="16" fillId="3" borderId="31" xfId="0" applyNumberFormat="1" applyFont="1" applyFill="1" applyBorder="1" applyAlignment="1" applyProtection="1">
      <alignment horizontal="center"/>
      <protection locked="0"/>
    </xf>
    <xf numFmtId="10" fontId="16" fillId="3" borderId="32" xfId="0" applyNumberFormat="1" applyFont="1" applyFill="1" applyBorder="1" applyAlignment="1" applyProtection="1">
      <alignment horizontal="center"/>
      <protection locked="0"/>
    </xf>
    <xf numFmtId="10" fontId="16" fillId="3" borderId="30" xfId="0" applyNumberFormat="1" applyFont="1" applyFill="1" applyBorder="1" applyAlignment="1" applyProtection="1">
      <alignment horizontal="center"/>
      <protection locked="0"/>
    </xf>
    <xf numFmtId="10" fontId="16" fillId="3" borderId="33" xfId="0" applyNumberFormat="1" applyFont="1" applyFill="1" applyBorder="1" applyAlignment="1" applyProtection="1">
      <alignment horizontal="center"/>
      <protection locked="0"/>
    </xf>
    <xf numFmtId="168" fontId="16" fillId="3" borderId="28" xfId="1" applyNumberFormat="1" applyFont="1" applyFill="1" applyBorder="1" applyProtection="1">
      <protection locked="0"/>
    </xf>
    <xf numFmtId="168" fontId="16" fillId="3" borderId="31" xfId="1" applyNumberFormat="1" applyFont="1" applyFill="1" applyBorder="1" applyProtection="1">
      <protection locked="0"/>
    </xf>
    <xf numFmtId="0" fontId="4" fillId="2" borderId="1" xfId="0" applyFont="1" applyFill="1" applyBorder="1"/>
    <xf numFmtId="0" fontId="31" fillId="2" borderId="0" xfId="4" applyFont="1" applyFill="1" applyAlignment="1">
      <alignment horizontal="center"/>
    </xf>
    <xf numFmtId="0" fontId="4" fillId="6" borderId="1" xfId="0" applyFont="1" applyFill="1" applyBorder="1" applyProtection="1"/>
    <xf numFmtId="0" fontId="5" fillId="6" borderId="1" xfId="0" applyFont="1" applyFill="1" applyBorder="1" applyAlignment="1" applyProtection="1">
      <alignment horizontal="right"/>
    </xf>
    <xf numFmtId="0" fontId="4" fillId="6" borderId="9" xfId="0" applyFont="1" applyFill="1" applyBorder="1" applyProtection="1"/>
    <xf numFmtId="168" fontId="5" fillId="6" borderId="0" xfId="1" applyNumberFormat="1" applyFont="1" applyFill="1" applyBorder="1" applyProtection="1"/>
    <xf numFmtId="0" fontId="28" fillId="2" borderId="0" xfId="0" applyFont="1" applyFill="1" applyAlignment="1">
      <alignment vertical="center"/>
    </xf>
    <xf numFmtId="0" fontId="14" fillId="6" borderId="0" xfId="0" applyFont="1" applyFill="1" applyBorder="1" applyAlignment="1">
      <alignment horizontal="left" indent="2"/>
    </xf>
    <xf numFmtId="0" fontId="22" fillId="2" borderId="0" xfId="0" applyFont="1" applyFill="1" applyBorder="1" applyAlignment="1">
      <alignment horizontal="center"/>
    </xf>
    <xf numFmtId="0" fontId="12" fillId="2" borderId="0" xfId="0" applyFont="1" applyFill="1" applyBorder="1" applyAlignment="1">
      <alignment horizontal="left" indent="2"/>
    </xf>
    <xf numFmtId="0" fontId="13" fillId="2" borderId="0" xfId="0" applyFont="1" applyFill="1" applyBorder="1" applyAlignment="1">
      <alignment horizontal="left" indent="2"/>
    </xf>
    <xf numFmtId="0" fontId="11" fillId="6" borderId="11" xfId="0" applyFont="1" applyFill="1" applyBorder="1" applyAlignment="1">
      <alignment horizontal="right"/>
    </xf>
    <xf numFmtId="0" fontId="11" fillId="6" borderId="11" xfId="0" applyFont="1" applyFill="1" applyBorder="1" applyAlignment="1">
      <alignment horizontal="left"/>
    </xf>
    <xf numFmtId="0" fontId="14" fillId="6" borderId="11" xfId="0" applyFont="1" applyFill="1" applyBorder="1" applyAlignment="1">
      <alignment horizontal="left" indent="2"/>
    </xf>
    <xf numFmtId="0" fontId="12" fillId="2" borderId="18" xfId="0" applyFont="1" applyFill="1" applyBorder="1" applyAlignment="1">
      <alignment horizontal="left" indent="2"/>
    </xf>
    <xf numFmtId="0" fontId="13" fillId="2" borderId="21" xfId="0" applyFont="1" applyFill="1" applyBorder="1" applyAlignment="1">
      <alignment horizontal="right"/>
    </xf>
    <xf numFmtId="0" fontId="11" fillId="2" borderId="22" xfId="0" applyFont="1" applyFill="1" applyBorder="1" applyAlignment="1"/>
    <xf numFmtId="0" fontId="13" fillId="2" borderId="24" xfId="0" applyFont="1" applyFill="1" applyBorder="1" applyAlignment="1">
      <alignment horizontal="left" indent="2"/>
    </xf>
    <xf numFmtId="0" fontId="7" fillId="6" borderId="5" xfId="0" applyFont="1" applyFill="1" applyBorder="1" applyAlignment="1">
      <alignment horizontal="right"/>
    </xf>
    <xf numFmtId="10" fontId="0" fillId="2" borderId="0" xfId="0" applyNumberFormat="1" applyFill="1"/>
    <xf numFmtId="0" fontId="4" fillId="6" borderId="0" xfId="0" applyFont="1" applyFill="1" applyBorder="1" applyProtection="1"/>
    <xf numFmtId="0" fontId="5" fillId="6" borderId="0" xfId="0" applyFont="1" applyFill="1" applyBorder="1" applyAlignment="1" applyProtection="1">
      <alignment horizontal="right"/>
    </xf>
    <xf numFmtId="0" fontId="4" fillId="6" borderId="6" xfId="0" applyFont="1" applyFill="1" applyBorder="1" applyProtection="1"/>
    <xf numFmtId="169" fontId="16" fillId="3" borderId="30" xfId="2" applyNumberFormat="1" applyFont="1" applyFill="1" applyBorder="1" applyProtection="1">
      <protection locked="0"/>
    </xf>
    <xf numFmtId="0" fontId="5" fillId="4" borderId="11" xfId="0" applyFont="1" applyFill="1" applyBorder="1" applyAlignment="1">
      <alignment horizontal="center"/>
    </xf>
    <xf numFmtId="0" fontId="5" fillId="7" borderId="2" xfId="0" applyFont="1" applyFill="1" applyBorder="1" applyAlignment="1" applyProtection="1">
      <alignment horizontal="center" vertical="center"/>
    </xf>
    <xf numFmtId="0" fontId="35" fillId="2" borderId="0" xfId="5" applyFill="1" applyAlignment="1"/>
    <xf numFmtId="0" fontId="35" fillId="2" borderId="0" xfId="5" applyFill="1" applyAlignment="1" applyProtection="1">
      <protection locked="0"/>
    </xf>
    <xf numFmtId="0" fontId="0" fillId="2" borderId="5" xfId="0" applyFill="1" applyBorder="1" applyAlignment="1">
      <alignment horizontal="center"/>
    </xf>
    <xf numFmtId="0" fontId="0" fillId="2" borderId="7" xfId="0" applyFill="1" applyBorder="1" applyAlignment="1">
      <alignment horizontal="center"/>
    </xf>
    <xf numFmtId="169" fontId="16" fillId="3" borderId="32" xfId="2" applyNumberFormat="1" applyFont="1" applyFill="1" applyBorder="1" applyProtection="1">
      <protection locked="0"/>
    </xf>
    <xf numFmtId="165" fontId="16" fillId="3" borderId="30" xfId="3" applyNumberFormat="1" applyFont="1" applyFill="1" applyBorder="1" applyProtection="1">
      <protection locked="0"/>
    </xf>
    <xf numFmtId="165" fontId="16" fillId="3" borderId="32" xfId="3" applyNumberFormat="1" applyFont="1" applyFill="1" applyBorder="1" applyProtection="1">
      <protection locked="0"/>
    </xf>
    <xf numFmtId="166" fontId="16" fillId="3" borderId="29" xfId="0" applyNumberFormat="1" applyFont="1" applyFill="1" applyBorder="1" applyAlignment="1" applyProtection="1">
      <alignment horizontal="right"/>
      <protection locked="0"/>
    </xf>
    <xf numFmtId="166" fontId="16" fillId="3" borderId="33" xfId="0" applyNumberFormat="1" applyFont="1" applyFill="1" applyBorder="1" applyAlignment="1" applyProtection="1">
      <alignment horizontal="right"/>
      <protection locked="0"/>
    </xf>
    <xf numFmtId="166" fontId="16" fillId="3" borderId="28" xfId="0" applyNumberFormat="1" applyFont="1" applyFill="1" applyBorder="1" applyAlignment="1" applyProtection="1">
      <alignment horizontal="right"/>
      <protection locked="0"/>
    </xf>
    <xf numFmtId="166" fontId="16" fillId="3" borderId="30" xfId="0" applyNumberFormat="1" applyFont="1" applyFill="1" applyBorder="1" applyAlignment="1" applyProtection="1">
      <alignment horizontal="right"/>
      <protection locked="0"/>
    </xf>
    <xf numFmtId="166" fontId="16" fillId="3" borderId="31" xfId="0" applyNumberFormat="1" applyFont="1" applyFill="1" applyBorder="1" applyAlignment="1" applyProtection="1">
      <alignment horizontal="right"/>
      <protection locked="0"/>
    </xf>
    <xf numFmtId="166" fontId="16" fillId="3" borderId="32" xfId="0" applyNumberFormat="1" applyFont="1" applyFill="1" applyBorder="1" applyAlignment="1" applyProtection="1">
      <alignment horizontal="right"/>
      <protection locked="0"/>
    </xf>
    <xf numFmtId="9" fontId="0" fillId="2" borderId="0" xfId="3" applyFont="1" applyFill="1"/>
    <xf numFmtId="0" fontId="0" fillId="6" borderId="0" xfId="0" applyFill="1" applyProtection="1"/>
    <xf numFmtId="3" fontId="16" fillId="3" borderId="29" xfId="0" applyNumberFormat="1" applyFont="1" applyFill="1" applyBorder="1" applyAlignment="1" applyProtection="1">
      <alignment horizontal="center"/>
      <protection locked="0"/>
    </xf>
    <xf numFmtId="3" fontId="16" fillId="3" borderId="28" xfId="0" applyNumberFormat="1" applyFont="1" applyFill="1" applyBorder="1" applyAlignment="1" applyProtection="1">
      <alignment horizontal="center"/>
      <protection locked="0"/>
    </xf>
    <xf numFmtId="3" fontId="0" fillId="2" borderId="0" xfId="0" applyNumberFormat="1" applyFill="1" applyBorder="1"/>
    <xf numFmtId="3" fontId="16" fillId="3" borderId="31" xfId="0" applyNumberFormat="1" applyFont="1" applyFill="1" applyBorder="1" applyAlignment="1" applyProtection="1">
      <alignment horizontal="center"/>
      <protection locked="0"/>
    </xf>
    <xf numFmtId="0" fontId="28" fillId="0" borderId="0" xfId="0" applyFont="1" applyFill="1" applyAlignment="1" applyProtection="1">
      <alignment vertical="center"/>
    </xf>
    <xf numFmtId="0" fontId="0" fillId="0" borderId="0" xfId="0" applyProtection="1"/>
    <xf numFmtId="0" fontId="0" fillId="0" borderId="0" xfId="0" applyBorder="1" applyProtection="1"/>
    <xf numFmtId="167" fontId="5" fillId="0" borderId="0" xfId="0" applyNumberFormat="1" applyFont="1" applyBorder="1" applyProtection="1"/>
    <xf numFmtId="0" fontId="7" fillId="0" borderId="0" xfId="0" applyFont="1" applyAlignment="1" applyProtection="1">
      <alignment horizontal="right"/>
    </xf>
    <xf numFmtId="0" fontId="4" fillId="0" borderId="0" xfId="0" applyFont="1" applyAlignment="1" applyProtection="1">
      <alignment horizontal="right"/>
    </xf>
    <xf numFmtId="0" fontId="7" fillId="0" borderId="0" xfId="0" applyFont="1" applyBorder="1" applyProtection="1"/>
    <xf numFmtId="0" fontId="5" fillId="0" borderId="0" xfId="0" applyFont="1" applyProtection="1"/>
    <xf numFmtId="0" fontId="5" fillId="0" borderId="2" xfId="0" applyFont="1" applyBorder="1" applyProtection="1"/>
    <xf numFmtId="0" fontId="5" fillId="0" borderId="0" xfId="0" applyFont="1" applyAlignment="1" applyProtection="1">
      <alignment horizontal="left"/>
    </xf>
    <xf numFmtId="165" fontId="9" fillId="0" borderId="0" xfId="0" applyNumberFormat="1" applyFont="1" applyBorder="1" applyAlignment="1" applyProtection="1">
      <alignment horizontal="left"/>
    </xf>
    <xf numFmtId="0" fontId="7" fillId="0" borderId="0" xfId="0" applyFont="1" applyProtection="1"/>
    <xf numFmtId="0" fontId="7" fillId="0" borderId="0" xfId="0" applyFont="1" applyAlignment="1" applyProtection="1">
      <alignment horizontal="left" indent="1"/>
    </xf>
    <xf numFmtId="3" fontId="7" fillId="0" borderId="0" xfId="0" applyNumberFormat="1" applyFont="1" applyBorder="1" applyProtection="1"/>
    <xf numFmtId="1" fontId="7" fillId="0" borderId="0" xfId="0" applyNumberFormat="1" applyFont="1" applyBorder="1" applyProtection="1"/>
    <xf numFmtId="165" fontId="7" fillId="0" borderId="0" xfId="0" applyNumberFormat="1" applyFont="1" applyAlignment="1" applyProtection="1">
      <alignment horizontal="left"/>
    </xf>
    <xf numFmtId="165" fontId="6" fillId="0" borderId="0" xfId="0" applyNumberFormat="1" applyFont="1" applyAlignment="1" applyProtection="1">
      <alignment horizontal="left"/>
    </xf>
    <xf numFmtId="0" fontId="9" fillId="0" borderId="0" xfId="0" applyFont="1" applyAlignment="1" applyProtection="1">
      <alignment horizontal="right"/>
    </xf>
    <xf numFmtId="3" fontId="7" fillId="0" borderId="0" xfId="0" applyNumberFormat="1" applyFont="1" applyProtection="1"/>
    <xf numFmtId="168" fontId="21" fillId="0" borderId="0" xfId="1" applyNumberFormat="1" applyFont="1" applyBorder="1" applyProtection="1"/>
    <xf numFmtId="168" fontId="0" fillId="0" borderId="0" xfId="1" applyNumberFormat="1" applyFont="1" applyBorder="1" applyProtection="1"/>
    <xf numFmtId="0" fontId="15" fillId="0" borderId="0" xfId="0" applyFont="1" applyAlignment="1" applyProtection="1">
      <alignment horizontal="right" indent="1"/>
    </xf>
    <xf numFmtId="168" fontId="15" fillId="0" borderId="0" xfId="1" applyNumberFormat="1" applyFont="1" applyBorder="1" applyProtection="1"/>
    <xf numFmtId="0" fontId="21" fillId="0" borderId="0" xfId="0" applyFont="1" applyBorder="1" applyProtection="1"/>
    <xf numFmtId="3" fontId="4" fillId="0" borderId="0" xfId="0" applyNumberFormat="1" applyFont="1" applyBorder="1" applyProtection="1"/>
    <xf numFmtId="169" fontId="15" fillId="0" borderId="0" xfId="2" applyNumberFormat="1" applyFont="1" applyBorder="1" applyProtection="1"/>
    <xf numFmtId="169" fontId="0" fillId="0" borderId="0" xfId="2" applyNumberFormat="1" applyFont="1" applyBorder="1" applyProtection="1"/>
    <xf numFmtId="169" fontId="15" fillId="0" borderId="0" xfId="0" applyNumberFormat="1" applyFont="1" applyBorder="1" applyProtection="1"/>
    <xf numFmtId="0" fontId="0" fillId="0" borderId="0" xfId="0" applyBorder="1" applyAlignment="1" applyProtection="1">
      <alignment horizontal="left" indent="1"/>
    </xf>
    <xf numFmtId="44" fontId="21" fillId="0" borderId="0" xfId="2" applyFont="1" applyAlignment="1" applyProtection="1">
      <alignment horizontal="left"/>
    </xf>
    <xf numFmtId="169" fontId="0" fillId="0" borderId="0" xfId="0" applyNumberFormat="1" applyBorder="1" applyProtection="1"/>
    <xf numFmtId="169" fontId="7" fillId="0" borderId="0" xfId="0" applyNumberFormat="1" applyFont="1" applyBorder="1" applyProtection="1"/>
    <xf numFmtId="169" fontId="7" fillId="0" borderId="0" xfId="0" applyNumberFormat="1" applyFont="1" applyProtection="1"/>
    <xf numFmtId="169" fontId="0" fillId="0" borderId="0" xfId="0" applyNumberFormat="1" applyProtection="1"/>
    <xf numFmtId="0" fontId="0" fillId="0" borderId="3" xfId="0" applyBorder="1" applyAlignment="1" applyProtection="1">
      <alignment horizontal="left" indent="1"/>
    </xf>
    <xf numFmtId="166" fontId="21" fillId="0" borderId="0" xfId="0" applyNumberFormat="1" applyFont="1" applyBorder="1" applyProtection="1"/>
    <xf numFmtId="0" fontId="0" fillId="0" borderId="3" xfId="0" applyFill="1" applyBorder="1" applyAlignment="1" applyProtection="1">
      <alignment horizontal="left" indent="1"/>
    </xf>
    <xf numFmtId="165" fontId="21" fillId="0" borderId="0" xfId="0" applyNumberFormat="1" applyFont="1" applyAlignment="1" applyProtection="1">
      <alignment horizontal="right"/>
    </xf>
    <xf numFmtId="169" fontId="7" fillId="0" borderId="0" xfId="2" applyNumberFormat="1" applyFont="1" applyBorder="1" applyProtection="1"/>
    <xf numFmtId="0" fontId="10" fillId="0" borderId="4" xfId="0" applyFont="1" applyBorder="1" applyAlignment="1" applyProtection="1">
      <alignment horizontal="right"/>
    </xf>
    <xf numFmtId="165" fontId="5" fillId="0" borderId="4" xfId="0" applyNumberFormat="1" applyFont="1" applyBorder="1" applyAlignment="1" applyProtection="1">
      <alignment horizontal="left"/>
    </xf>
    <xf numFmtId="166" fontId="10" fillId="0" borderId="27" xfId="0" applyNumberFormat="1" applyFont="1" applyBorder="1" applyProtection="1"/>
    <xf numFmtId="0" fontId="10" fillId="0" borderId="4" xfId="0" applyFont="1" applyBorder="1" applyProtection="1"/>
    <xf numFmtId="0" fontId="5" fillId="0" borderId="0" xfId="0" applyFont="1" applyAlignment="1" applyProtection="1">
      <alignment horizontal="right"/>
    </xf>
    <xf numFmtId="165" fontId="5" fillId="0" borderId="0" xfId="0" applyNumberFormat="1" applyFont="1" applyAlignment="1" applyProtection="1">
      <alignment horizontal="left"/>
    </xf>
    <xf numFmtId="166" fontId="0" fillId="0" borderId="0" xfId="0" applyNumberFormat="1" applyBorder="1" applyProtection="1"/>
    <xf numFmtId="0" fontId="5" fillId="0" borderId="3" xfId="0" applyFont="1" applyBorder="1" applyProtection="1"/>
    <xf numFmtId="6" fontId="0" fillId="0" borderId="0" xfId="0" applyNumberFormat="1" applyBorder="1" applyProtection="1"/>
    <xf numFmtId="169" fontId="21" fillId="0" borderId="0" xfId="0" applyNumberFormat="1" applyFont="1" applyBorder="1" applyAlignment="1" applyProtection="1">
      <alignment horizontal="left" indent="1"/>
    </xf>
    <xf numFmtId="169" fontId="7" fillId="0" borderId="0" xfId="2" applyNumberFormat="1" applyFont="1" applyFill="1" applyBorder="1" applyProtection="1"/>
    <xf numFmtId="0" fontId="0" fillId="0" borderId="0" xfId="0" applyFill="1" applyProtection="1"/>
    <xf numFmtId="0" fontId="4" fillId="0" borderId="10" xfId="0" applyFont="1" applyBorder="1" applyAlignment="1" applyProtection="1">
      <alignment horizontal="left" indent="1"/>
    </xf>
    <xf numFmtId="166" fontId="4" fillId="0" borderId="10" xfId="0" applyNumberFormat="1" applyFont="1" applyBorder="1" applyAlignment="1" applyProtection="1">
      <alignment horizontal="center"/>
    </xf>
    <xf numFmtId="169" fontId="21" fillId="0" borderId="10" xfId="2" applyNumberFormat="1" applyFont="1" applyFill="1" applyBorder="1" applyProtection="1"/>
    <xf numFmtId="169" fontId="21" fillId="0" borderId="10" xfId="2" applyNumberFormat="1" applyFont="1" applyBorder="1" applyProtection="1"/>
    <xf numFmtId="0" fontId="7" fillId="0" borderId="0" xfId="0" applyFont="1" applyBorder="1" applyAlignment="1" applyProtection="1">
      <alignment horizontal="left" indent="1"/>
    </xf>
    <xf numFmtId="44" fontId="21" fillId="0" borderId="0" xfId="0" applyNumberFormat="1" applyFont="1" applyBorder="1" applyAlignment="1" applyProtection="1">
      <alignment horizontal="left" indent="1"/>
    </xf>
    <xf numFmtId="0" fontId="10" fillId="0" borderId="0" xfId="0" applyFont="1" applyBorder="1" applyAlignment="1" applyProtection="1">
      <alignment horizontal="right"/>
    </xf>
    <xf numFmtId="166" fontId="10" fillId="0" borderId="0" xfId="0" applyNumberFormat="1" applyFont="1" applyBorder="1" applyProtection="1"/>
    <xf numFmtId="165" fontId="10" fillId="0" borderId="4" xfId="0" applyNumberFormat="1" applyFont="1" applyBorder="1" applyAlignment="1" applyProtection="1">
      <alignment horizontal="left"/>
    </xf>
    <xf numFmtId="166" fontId="10" fillId="0" borderId="4" xfId="0" applyNumberFormat="1" applyFont="1" applyBorder="1" applyProtection="1"/>
    <xf numFmtId="165" fontId="9" fillId="0" borderId="0" xfId="0" applyNumberFormat="1" applyFont="1" applyAlignment="1" applyProtection="1">
      <alignment horizontal="left"/>
    </xf>
    <xf numFmtId="10" fontId="0" fillId="0" borderId="0" xfId="0" applyNumberFormat="1" applyBorder="1" applyProtection="1"/>
    <xf numFmtId="6" fontId="10" fillId="0" borderId="27" xfId="0" applyNumberFormat="1" applyFont="1" applyBorder="1" applyAlignment="1" applyProtection="1">
      <alignment horizontal="right"/>
    </xf>
    <xf numFmtId="6" fontId="10" fillId="0" borderId="27" xfId="0" applyNumberFormat="1" applyFont="1" applyBorder="1" applyAlignment="1" applyProtection="1">
      <alignment horizontal="left"/>
    </xf>
    <xf numFmtId="6" fontId="10" fillId="0" borderId="27" xfId="0" applyNumberFormat="1" applyFont="1" applyBorder="1" applyProtection="1"/>
    <xf numFmtId="0" fontId="0" fillId="0" borderId="0" xfId="0" applyAlignment="1" applyProtection="1">
      <alignment horizontal="right"/>
    </xf>
    <xf numFmtId="0" fontId="10" fillId="0" borderId="0" xfId="0" applyFont="1" applyAlignment="1" applyProtection="1">
      <alignment horizontal="right"/>
    </xf>
    <xf numFmtId="43" fontId="10" fillId="0" borderId="0" xfId="1" applyNumberFormat="1" applyFont="1" applyBorder="1" applyProtection="1"/>
    <xf numFmtId="6" fontId="10" fillId="0" borderId="4" xfId="0" applyNumberFormat="1" applyFont="1" applyBorder="1" applyAlignment="1" applyProtection="1">
      <alignment horizontal="right"/>
    </xf>
    <xf numFmtId="169" fontId="21" fillId="0" borderId="4" xfId="0" applyNumberFormat="1" applyFont="1" applyBorder="1" applyAlignment="1" applyProtection="1">
      <alignment horizontal="left"/>
    </xf>
    <xf numFmtId="169" fontId="10" fillId="0" borderId="4" xfId="0" applyNumberFormat="1" applyFont="1" applyBorder="1" applyProtection="1"/>
    <xf numFmtId="0" fontId="7" fillId="0" borderId="0" xfId="0" applyFont="1" applyAlignment="1" applyProtection="1">
      <alignment horizontal="left"/>
    </xf>
    <xf numFmtId="166" fontId="7" fillId="0" borderId="0" xfId="0" applyNumberFormat="1" applyFont="1" applyBorder="1" applyProtection="1"/>
    <xf numFmtId="0" fontId="33" fillId="0" borderId="0" xfId="0" applyNumberFormat="1" applyFont="1" applyFill="1" applyProtection="1"/>
    <xf numFmtId="165" fontId="7" fillId="0" borderId="0" xfId="0" applyNumberFormat="1" applyFont="1" applyFill="1" applyAlignment="1" applyProtection="1">
      <alignment horizontal="left"/>
    </xf>
    <xf numFmtId="166" fontId="7" fillId="0" borderId="0" xfId="0" applyNumberFormat="1" applyFont="1" applyFill="1" applyBorder="1" applyProtection="1"/>
    <xf numFmtId="3" fontId="7" fillId="0" borderId="0" xfId="0" applyNumberFormat="1" applyFont="1" applyFill="1" applyBorder="1" applyProtection="1"/>
    <xf numFmtId="3" fontId="7" fillId="0" borderId="0" xfId="0" applyNumberFormat="1" applyFont="1" applyFill="1" applyProtection="1"/>
    <xf numFmtId="167" fontId="5" fillId="0" borderId="0" xfId="0" applyNumberFormat="1" applyFont="1" applyBorder="1" applyAlignment="1" applyProtection="1">
      <alignment horizontal="left"/>
    </xf>
    <xf numFmtId="166" fontId="10" fillId="0" borderId="2" xfId="0" applyNumberFormat="1" applyFont="1" applyBorder="1" applyProtection="1"/>
    <xf numFmtId="0" fontId="10" fillId="0" borderId="0" xfId="0" applyFont="1" applyProtection="1"/>
    <xf numFmtId="166" fontId="21" fillId="0" borderId="0" xfId="0" applyNumberFormat="1" applyFont="1" applyBorder="1" applyAlignment="1" applyProtection="1"/>
    <xf numFmtId="0" fontId="15" fillId="0" borderId="0" xfId="0" applyFont="1" applyFill="1" applyProtection="1"/>
    <xf numFmtId="0" fontId="15" fillId="0" borderId="0" xfId="0" applyFont="1" applyFill="1" applyBorder="1" applyProtection="1"/>
    <xf numFmtId="0" fontId="35" fillId="0" borderId="0" xfId="5" applyFill="1" applyAlignment="1" applyProtection="1"/>
    <xf numFmtId="0" fontId="4" fillId="0" borderId="0" xfId="0" applyFont="1" applyProtection="1"/>
    <xf numFmtId="0" fontId="4" fillId="0" borderId="0" xfId="0" applyFont="1" applyBorder="1" applyProtection="1"/>
    <xf numFmtId="0" fontId="0" fillId="7" borderId="0" xfId="0" applyFill="1" applyBorder="1" applyProtection="1"/>
    <xf numFmtId="0" fontId="0" fillId="7" borderId="0" xfId="0" applyFill="1" applyProtection="1"/>
    <xf numFmtId="0" fontId="8" fillId="7" borderId="2" xfId="0" applyFont="1" applyFill="1" applyBorder="1" applyAlignment="1" applyProtection="1">
      <alignment horizontal="right"/>
    </xf>
    <xf numFmtId="0" fontId="5" fillId="7" borderId="2" xfId="0" applyFont="1" applyFill="1" applyBorder="1" applyAlignment="1" applyProtection="1">
      <alignment horizontal="center"/>
    </xf>
    <xf numFmtId="0" fontId="5" fillId="7" borderId="2" xfId="0" applyFont="1" applyFill="1" applyBorder="1" applyProtection="1"/>
    <xf numFmtId="0" fontId="5" fillId="7" borderId="10" xfId="0" applyFont="1" applyFill="1" applyBorder="1" applyAlignment="1" applyProtection="1">
      <alignment horizontal="left"/>
    </xf>
    <xf numFmtId="0" fontId="5" fillId="7" borderId="10" xfId="0" applyFont="1" applyFill="1" applyBorder="1" applyAlignment="1" applyProtection="1">
      <alignment horizontal="center" wrapText="1"/>
    </xf>
    <xf numFmtId="3" fontId="0" fillId="7" borderId="0" xfId="0" applyNumberFormat="1" applyFill="1" applyBorder="1" applyProtection="1"/>
    <xf numFmtId="44" fontId="0" fillId="7" borderId="0" xfId="2" applyFont="1" applyFill="1" applyBorder="1" applyProtection="1"/>
    <xf numFmtId="164" fontId="0" fillId="7" borderId="0" xfId="0" applyNumberFormat="1" applyFill="1" applyBorder="1" applyProtection="1"/>
    <xf numFmtId="9" fontId="0" fillId="7" borderId="0" xfId="3" applyFont="1" applyFill="1" applyBorder="1" applyProtection="1"/>
    <xf numFmtId="0" fontId="0" fillId="7" borderId="11" xfId="0" applyFill="1" applyBorder="1" applyProtection="1"/>
    <xf numFmtId="0" fontId="10" fillId="7" borderId="0" xfId="0" applyFont="1" applyFill="1" applyBorder="1" applyAlignment="1" applyProtection="1">
      <alignment horizontal="left"/>
    </xf>
    <xf numFmtId="0" fontId="0" fillId="2" borderId="0" xfId="0" applyFill="1" applyProtection="1"/>
    <xf numFmtId="0" fontId="28" fillId="2" borderId="0" xfId="0" applyFont="1" applyFill="1" applyAlignment="1" applyProtection="1">
      <alignment horizontal="center" vertical="center"/>
    </xf>
    <xf numFmtId="0" fontId="15" fillId="2" borderId="0" xfId="0" applyFont="1" applyFill="1" applyProtection="1"/>
    <xf numFmtId="6" fontId="0" fillId="2" borderId="0" xfId="0" applyNumberFormat="1" applyFill="1" applyProtection="1"/>
    <xf numFmtId="0" fontId="31" fillId="2" borderId="0" xfId="4" applyFont="1" applyFill="1" applyAlignment="1" applyProtection="1"/>
    <xf numFmtId="0" fontId="27" fillId="2" borderId="0" xfId="4" applyFont="1" applyFill="1" applyAlignment="1" applyProtection="1"/>
    <xf numFmtId="0" fontId="35" fillId="2" borderId="0" xfId="5" applyFill="1" applyAlignment="1" applyProtection="1"/>
    <xf numFmtId="0" fontId="0" fillId="2" borderId="28" xfId="0" applyFill="1" applyBorder="1" applyProtection="1"/>
    <xf numFmtId="169" fontId="0" fillId="2" borderId="28" xfId="0" applyNumberFormat="1" applyFill="1" applyBorder="1" applyProtection="1"/>
    <xf numFmtId="165" fontId="16" fillId="2" borderId="12" xfId="3" applyNumberFormat="1" applyFont="1" applyFill="1" applyBorder="1" applyAlignment="1" applyProtection="1">
      <alignment horizontal="center"/>
    </xf>
    <xf numFmtId="0" fontId="35" fillId="2" borderId="0" xfId="5" applyFill="1" applyAlignment="1" applyProtection="1">
      <alignment horizontal="center"/>
      <protection locked="0"/>
    </xf>
    <xf numFmtId="0" fontId="5" fillId="2" borderId="5" xfId="0" applyFont="1" applyFill="1" applyBorder="1"/>
    <xf numFmtId="10" fontId="16" fillId="3" borderId="32" xfId="3" applyNumberFormat="1" applyFont="1" applyFill="1" applyBorder="1" applyProtection="1">
      <protection locked="0"/>
    </xf>
    <xf numFmtId="0" fontId="2" fillId="0" borderId="0" xfId="6"/>
    <xf numFmtId="0" fontId="2" fillId="0" borderId="0" xfId="6" applyNumberFormat="1"/>
    <xf numFmtId="0" fontId="42" fillId="0" borderId="0" xfId="6" applyNumberFormat="1" applyFont="1" applyAlignment="1">
      <alignment horizontal="right"/>
    </xf>
    <xf numFmtId="0" fontId="37" fillId="0" borderId="0" xfId="6" applyFont="1"/>
    <xf numFmtId="0" fontId="43" fillId="0" borderId="0" xfId="6" applyFont="1"/>
    <xf numFmtId="0" fontId="2" fillId="0" borderId="0" xfId="6" applyNumberFormat="1" applyAlignment="1">
      <alignment horizontal="center"/>
    </xf>
    <xf numFmtId="0" fontId="2" fillId="0" borderId="10" xfId="6" applyBorder="1"/>
    <xf numFmtId="0" fontId="2" fillId="0" borderId="10" xfId="6" applyNumberFormat="1" applyBorder="1"/>
    <xf numFmtId="0" fontId="42" fillId="0" borderId="10" xfId="6" applyNumberFormat="1" applyFont="1" applyBorder="1" applyAlignment="1">
      <alignment horizontal="right"/>
    </xf>
    <xf numFmtId="17" fontId="2" fillId="0" borderId="0" xfId="6" applyNumberFormat="1"/>
    <xf numFmtId="17" fontId="2" fillId="0" borderId="10" xfId="6" applyNumberFormat="1" applyBorder="1"/>
    <xf numFmtId="0" fontId="2" fillId="0" borderId="14" xfId="6" applyBorder="1" applyAlignment="1">
      <alignment horizontal="right"/>
    </xf>
    <xf numFmtId="0" fontId="42" fillId="0" borderId="14" xfId="6" applyNumberFormat="1" applyFont="1" applyBorder="1" applyAlignment="1">
      <alignment horizontal="right"/>
    </xf>
    <xf numFmtId="0" fontId="2" fillId="0" borderId="14" xfId="6" applyNumberFormat="1" applyBorder="1"/>
    <xf numFmtId="0" fontId="2" fillId="0" borderId="14" xfId="6" applyBorder="1"/>
    <xf numFmtId="0" fontId="2" fillId="0" borderId="0" xfId="6" applyAlignment="1">
      <alignment horizontal="right"/>
    </xf>
    <xf numFmtId="3" fontId="44" fillId="0" borderId="0" xfId="7" applyNumberFormat="1" applyFont="1"/>
    <xf numFmtId="3" fontId="0" fillId="0" borderId="0" xfId="7" applyNumberFormat="1" applyFont="1"/>
    <xf numFmtId="3" fontId="38" fillId="0" borderId="0" xfId="6" applyNumberFormat="1" applyFont="1"/>
    <xf numFmtId="0" fontId="44" fillId="0" borderId="0" xfId="6" applyNumberFormat="1" applyFont="1"/>
    <xf numFmtId="0" fontId="45" fillId="0" borderId="0" xfId="5" applyNumberFormat="1" applyFont="1" applyAlignment="1">
      <alignment horizontal="center"/>
    </xf>
    <xf numFmtId="0" fontId="27" fillId="2" borderId="0" xfId="4" applyFont="1" applyFill="1" applyAlignment="1">
      <alignment horizontal="center"/>
    </xf>
    <xf numFmtId="0" fontId="35" fillId="2" borderId="0" xfId="5" applyFill="1" applyAlignment="1" applyProtection="1">
      <alignment horizontal="center"/>
      <protection locked="0"/>
    </xf>
    <xf numFmtId="0" fontId="23" fillId="2" borderId="0" xfId="0" applyFont="1" applyFill="1" applyAlignment="1">
      <alignment horizontal="center"/>
    </xf>
    <xf numFmtId="0" fontId="22" fillId="2" borderId="11" xfId="0" applyFont="1" applyFill="1" applyBorder="1" applyAlignment="1">
      <alignment horizontal="center"/>
    </xf>
    <xf numFmtId="0" fontId="15" fillId="2" borderId="0" xfId="0" applyFont="1" applyFill="1" applyAlignment="1">
      <alignment horizontal="center" vertical="center" wrapText="1"/>
    </xf>
    <xf numFmtId="0" fontId="9" fillId="2" borderId="0" xfId="0" applyFont="1" applyFill="1" applyAlignment="1">
      <alignment horizontal="center" vertical="top"/>
    </xf>
    <xf numFmtId="0" fontId="15" fillId="2" borderId="0" xfId="0" applyFont="1" applyFill="1" applyBorder="1" applyAlignment="1">
      <alignment horizontal="center"/>
    </xf>
    <xf numFmtId="0" fontId="19" fillId="5" borderId="8" xfId="0" applyFont="1" applyFill="1" applyBorder="1" applyAlignment="1">
      <alignment horizontal="center"/>
    </xf>
    <xf numFmtId="0" fontId="19" fillId="5" borderId="1" xfId="0" applyFont="1" applyFill="1" applyBorder="1" applyAlignment="1">
      <alignment horizontal="center"/>
    </xf>
    <xf numFmtId="0" fontId="19" fillId="5" borderId="9" xfId="0" applyFont="1" applyFill="1" applyBorder="1" applyAlignment="1">
      <alignment horizontal="center"/>
    </xf>
    <xf numFmtId="0" fontId="18" fillId="5" borderId="0" xfId="0" applyFont="1" applyFill="1" applyBorder="1" applyAlignment="1">
      <alignment horizontal="center" vertical="center"/>
    </xf>
    <xf numFmtId="0" fontId="18" fillId="5" borderId="11" xfId="0" applyFont="1" applyFill="1" applyBorder="1" applyAlignment="1">
      <alignment horizontal="center" vertical="center"/>
    </xf>
    <xf numFmtId="0" fontId="17" fillId="5" borderId="0" xfId="0" applyFont="1" applyFill="1" applyBorder="1" applyAlignment="1">
      <alignment horizontal="center" vertical="center"/>
    </xf>
    <xf numFmtId="0" fontId="29" fillId="5" borderId="1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12" xfId="0" applyFont="1" applyFill="1" applyBorder="1" applyAlignment="1">
      <alignment horizontal="center" vertical="center"/>
    </xf>
    <xf numFmtId="168" fontId="17" fillId="5" borderId="0" xfId="1" applyNumberFormat="1" applyFont="1" applyFill="1" applyBorder="1" applyAlignment="1">
      <alignment horizontal="center" vertical="center"/>
    </xf>
    <xf numFmtId="168" fontId="17" fillId="5" borderId="11" xfId="1" applyNumberFormat="1" applyFont="1" applyFill="1" applyBorder="1" applyAlignment="1">
      <alignment horizontal="center" vertical="center"/>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9" fillId="5" borderId="8"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9" xfId="0" applyFont="1" applyFill="1" applyBorder="1" applyAlignment="1">
      <alignment horizontal="center" vertical="center"/>
    </xf>
    <xf numFmtId="44" fontId="17" fillId="3" borderId="35" xfId="2" applyFont="1" applyFill="1" applyBorder="1" applyAlignment="1" applyProtection="1">
      <alignment horizontal="center" vertical="center"/>
      <protection locked="0"/>
    </xf>
    <xf numFmtId="44" fontId="17" fillId="3" borderId="36" xfId="2" applyFont="1" applyFill="1" applyBorder="1" applyAlignment="1" applyProtection="1">
      <alignment horizontal="center" vertical="center"/>
      <protection locked="0"/>
    </xf>
    <xf numFmtId="0" fontId="16" fillId="5" borderId="3" xfId="0" applyFont="1" applyFill="1" applyBorder="1" applyAlignment="1">
      <alignment horizontal="center" vertical="center"/>
    </xf>
    <xf numFmtId="0" fontId="16" fillId="5" borderId="37" xfId="0" applyFont="1" applyFill="1" applyBorder="1" applyAlignment="1">
      <alignment horizontal="center" vertical="center"/>
    </xf>
    <xf numFmtId="164" fontId="17" fillId="5" borderId="0" xfId="1" applyNumberFormat="1" applyFont="1" applyFill="1" applyBorder="1" applyAlignment="1">
      <alignment horizontal="center" vertical="center"/>
    </xf>
    <xf numFmtId="164" fontId="17" fillId="5" borderId="11" xfId="1" applyNumberFormat="1" applyFont="1" applyFill="1" applyBorder="1" applyAlignment="1">
      <alignment horizontal="center" vertical="center"/>
    </xf>
    <xf numFmtId="0" fontId="16" fillId="5" borderId="6" xfId="0" applyFont="1" applyFill="1" applyBorder="1" applyAlignment="1">
      <alignment horizontal="center" vertical="center"/>
    </xf>
    <xf numFmtId="0" fontId="16" fillId="5" borderId="12" xfId="0" applyFont="1" applyFill="1" applyBorder="1" applyAlignment="1">
      <alignment horizontal="center" vertical="center"/>
    </xf>
    <xf numFmtId="0" fontId="8" fillId="4" borderId="8" xfId="0" applyFont="1" applyFill="1" applyBorder="1" applyAlignment="1">
      <alignment horizontal="left" wrapText="1"/>
    </xf>
    <xf numFmtId="0" fontId="8" fillId="4" borderId="1" xfId="0" applyFont="1" applyFill="1" applyBorder="1" applyAlignment="1">
      <alignment horizontal="left" wrapText="1"/>
    </xf>
    <xf numFmtId="0" fontId="8" fillId="4" borderId="7" xfId="0" applyFont="1" applyFill="1" applyBorder="1" applyAlignment="1">
      <alignment horizontal="left" wrapText="1"/>
    </xf>
    <xf numFmtId="0" fontId="8" fillId="4" borderId="11" xfId="0" applyFont="1" applyFill="1" applyBorder="1" applyAlignment="1">
      <alignment horizontal="left" wrapText="1"/>
    </xf>
    <xf numFmtId="0" fontId="31" fillId="2" borderId="0" xfId="4" applyFont="1" applyFill="1" applyAlignment="1">
      <alignment horizontal="center"/>
    </xf>
    <xf numFmtId="0" fontId="35" fillId="2" borderId="5" xfId="5" applyFill="1" applyBorder="1" applyAlignment="1" applyProtection="1">
      <alignment horizontal="center"/>
      <protection locked="0"/>
    </xf>
    <xf numFmtId="0" fontId="35" fillId="2" borderId="0" xfId="5" applyFill="1" applyBorder="1" applyAlignment="1" applyProtection="1">
      <alignment horizontal="center"/>
      <protection locked="0"/>
    </xf>
    <xf numFmtId="0" fontId="35" fillId="2" borderId="6" xfId="5" applyFill="1" applyBorder="1" applyAlignment="1" applyProtection="1">
      <alignment horizontal="center"/>
      <protection locked="0"/>
    </xf>
    <xf numFmtId="0" fontId="39" fillId="3" borderId="19" xfId="0" applyFont="1" applyFill="1" applyBorder="1" applyAlignment="1" applyProtection="1">
      <alignment horizontal="left"/>
      <protection locked="0"/>
    </xf>
    <xf numFmtId="0" fontId="39" fillId="3" borderId="28" xfId="0" applyFont="1" applyFill="1" applyBorder="1" applyAlignment="1" applyProtection="1">
      <alignment horizontal="left"/>
      <protection locked="0"/>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7" xfId="0" applyFont="1" applyFill="1" applyBorder="1" applyAlignment="1">
      <alignment horizontal="center" wrapText="1"/>
    </xf>
    <xf numFmtId="0" fontId="8" fillId="4" borderId="12" xfId="0" applyFont="1" applyFill="1" applyBorder="1" applyAlignment="1">
      <alignment horizontal="center" wrapText="1"/>
    </xf>
    <xf numFmtId="0" fontId="4" fillId="6" borderId="8" xfId="0" applyFont="1" applyFill="1" applyBorder="1" applyAlignment="1">
      <alignment horizontal="left" wrapText="1"/>
    </xf>
    <xf numFmtId="0" fontId="4" fillId="6" borderId="9" xfId="0" applyFont="1" applyFill="1" applyBorder="1" applyAlignment="1">
      <alignment horizontal="left" wrapText="1"/>
    </xf>
    <xf numFmtId="0" fontId="4" fillId="6" borderId="5" xfId="0" applyFont="1" applyFill="1" applyBorder="1" applyAlignment="1">
      <alignment horizontal="left" wrapText="1"/>
    </xf>
    <xf numFmtId="0" fontId="4" fillId="6" borderId="6" xfId="0" applyFont="1" applyFill="1" applyBorder="1" applyAlignment="1">
      <alignment horizontal="left" wrapText="1"/>
    </xf>
    <xf numFmtId="0" fontId="4" fillId="2" borderId="8" xfId="0" applyFont="1" applyFill="1" applyBorder="1" applyAlignment="1">
      <alignment horizontal="left" wrapText="1"/>
    </xf>
    <xf numFmtId="0" fontId="4" fillId="2" borderId="1" xfId="0" applyFont="1" applyFill="1" applyBorder="1" applyAlignment="1">
      <alignment horizontal="left" wrapText="1"/>
    </xf>
    <xf numFmtId="0" fontId="4" fillId="2" borderId="9" xfId="0" applyFont="1" applyFill="1" applyBorder="1" applyAlignment="1">
      <alignment horizontal="left" wrapText="1"/>
    </xf>
    <xf numFmtId="0" fontId="4" fillId="2" borderId="5" xfId="0" applyFont="1" applyFill="1" applyBorder="1" applyAlignment="1">
      <alignment horizontal="left" wrapText="1"/>
    </xf>
    <xf numFmtId="0" fontId="4" fillId="2" borderId="0" xfId="0" applyFont="1" applyFill="1" applyBorder="1" applyAlignment="1">
      <alignment horizontal="left" wrapText="1"/>
    </xf>
    <xf numFmtId="0" fontId="4" fillId="2" borderId="6" xfId="0" applyFont="1" applyFill="1" applyBorder="1" applyAlignment="1">
      <alignment horizontal="left" wrapText="1"/>
    </xf>
    <xf numFmtId="3" fontId="34" fillId="3" borderId="35" xfId="0" applyNumberFormat="1" applyFont="1" applyFill="1" applyBorder="1" applyAlignment="1" applyProtection="1">
      <alignment horizontal="center" vertical="center"/>
      <protection locked="0"/>
    </xf>
    <xf numFmtId="3" fontId="34" fillId="3" borderId="36" xfId="0" applyNumberFormat="1" applyFont="1" applyFill="1" applyBorder="1" applyAlignment="1" applyProtection="1">
      <alignment horizontal="center" vertical="center"/>
      <protection locked="0"/>
    </xf>
    <xf numFmtId="0" fontId="34" fillId="5" borderId="0" xfId="0" applyFont="1" applyFill="1" applyBorder="1" applyAlignment="1">
      <alignment horizontal="center" vertical="center"/>
    </xf>
    <xf numFmtId="0" fontId="34" fillId="5" borderId="11" xfId="0" applyFont="1" applyFill="1" applyBorder="1" applyAlignment="1">
      <alignment horizontal="center" vertical="center"/>
    </xf>
    <xf numFmtId="168" fontId="34" fillId="5" borderId="0" xfId="1" applyNumberFormat="1" applyFont="1" applyFill="1" applyBorder="1" applyAlignment="1">
      <alignment horizontal="center" vertical="center"/>
    </xf>
    <xf numFmtId="168" fontId="34" fillId="5" borderId="11" xfId="1" applyNumberFormat="1" applyFont="1" applyFill="1" applyBorder="1" applyAlignment="1">
      <alignment horizontal="center" vertical="center"/>
    </xf>
    <xf numFmtId="0" fontId="34" fillId="5" borderId="6" xfId="0" applyFont="1" applyFill="1" applyBorder="1" applyAlignment="1">
      <alignment horizontal="center" vertical="center"/>
    </xf>
    <xf numFmtId="0" fontId="34" fillId="5" borderId="12" xfId="0" applyFont="1" applyFill="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pplyProtection="1">
      <alignment horizontal="center" vertical="center"/>
    </xf>
    <xf numFmtId="0" fontId="31" fillId="2" borderId="0" xfId="4" applyFont="1" applyFill="1" applyAlignment="1" applyProtection="1">
      <alignment horizontal="center" wrapText="1"/>
    </xf>
    <xf numFmtId="0" fontId="8" fillId="2" borderId="0" xfId="0" applyFont="1" applyFill="1" applyAlignment="1" applyProtection="1">
      <alignment horizontal="center" vertical="center"/>
    </xf>
    <xf numFmtId="169" fontId="26" fillId="3" borderId="25" xfId="2" applyNumberFormat="1" applyFont="1" applyFill="1" applyBorder="1" applyAlignment="1" applyProtection="1">
      <alignment horizontal="center" vertical="center"/>
      <protection locked="0"/>
    </xf>
    <xf numFmtId="169" fontId="26" fillId="3" borderId="26" xfId="2" applyNumberFormat="1" applyFont="1" applyFill="1" applyBorder="1" applyAlignment="1" applyProtection="1">
      <alignment horizontal="center" vertical="center"/>
      <protection locked="0"/>
    </xf>
    <xf numFmtId="0" fontId="23" fillId="7" borderId="0" xfId="0" applyFont="1" applyFill="1" applyAlignment="1" applyProtection="1">
      <alignment horizontal="center"/>
    </xf>
    <xf numFmtId="0" fontId="31" fillId="7" borderId="0" xfId="4" applyFont="1" applyFill="1" applyAlignment="1" applyProtection="1">
      <alignment horizontal="center"/>
    </xf>
    <xf numFmtId="0" fontId="10" fillId="7" borderId="10" xfId="0" applyFont="1" applyFill="1" applyBorder="1" applyAlignment="1" applyProtection="1">
      <alignment horizontal="center"/>
    </xf>
    <xf numFmtId="0" fontId="35" fillId="7" borderId="0" xfId="5" applyFill="1" applyAlignment="1" applyProtection="1">
      <alignment horizontal="center"/>
      <protection locked="0"/>
    </xf>
    <xf numFmtId="0" fontId="23" fillId="7" borderId="0" xfId="0" applyFont="1" applyFill="1" applyBorder="1" applyAlignment="1" applyProtection="1">
      <alignment horizontal="center"/>
    </xf>
    <xf numFmtId="0" fontId="27" fillId="0" borderId="0" xfId="4" applyFont="1" applyFill="1" applyAlignment="1" applyProtection="1">
      <alignment horizontal="center"/>
    </xf>
    <xf numFmtId="0" fontId="28" fillId="0" borderId="0" xfId="0" applyFont="1" applyFill="1" applyAlignment="1" applyProtection="1">
      <alignment horizontal="center" vertical="center"/>
    </xf>
    <xf numFmtId="0" fontId="35" fillId="0" borderId="0" xfId="5" applyFill="1" applyAlignment="1" applyProtection="1">
      <alignment horizontal="center"/>
      <protection locked="0"/>
    </xf>
    <xf numFmtId="0" fontId="28" fillId="0" borderId="0" xfId="0" applyFont="1" applyFill="1" applyBorder="1" applyAlignment="1" applyProtection="1">
      <alignment horizontal="center" vertical="center"/>
    </xf>
    <xf numFmtId="0" fontId="41" fillId="0" borderId="0" xfId="6" applyFont="1" applyAlignment="1">
      <alignment horizontal="left" wrapText="1"/>
    </xf>
    <xf numFmtId="0" fontId="42" fillId="0" borderId="0" xfId="6" applyNumberFormat="1" applyFont="1" applyAlignment="1">
      <alignment horizontal="left" vertical="top" wrapText="1"/>
    </xf>
  </cellXfs>
  <cellStyles count="8">
    <cellStyle name="Comma" xfId="1" builtinId="3"/>
    <cellStyle name="Comma 2" xfId="7" xr:uid="{00000000-0005-0000-0000-000001000000}"/>
    <cellStyle name="Currency" xfId="2" builtinId="4"/>
    <cellStyle name="Hyperlink" xfId="5" builtinId="8"/>
    <cellStyle name="Normal" xfId="0" builtinId="0"/>
    <cellStyle name="Normal 2" xfId="4" xr:uid="{00000000-0005-0000-0000-000005000000}"/>
    <cellStyle name="Normal 3" xfId="6" xr:uid="{00000000-0005-0000-0000-000006000000}"/>
    <cellStyle name="Percent" xfId="3" builtinId="5"/>
  </cellStyles>
  <dxfs count="0"/>
  <tableStyles count="0" defaultTableStyle="TableStyleMedium2" defaultPivotStyle="PivotStyleLight16"/>
  <colors>
    <mruColors>
      <color rgb="FFEAF1DD"/>
      <color rgb="FFACC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latin typeface="Arial" pitchFamily="34" charset="0"/>
                <a:cs typeface="Arial" pitchFamily="34" charset="0"/>
              </a:rPr>
              <a:t>Projected</a:t>
            </a:r>
            <a:r>
              <a:rPr lang="en-US" sz="1400" baseline="0">
                <a:latin typeface="Arial" pitchFamily="34" charset="0"/>
                <a:cs typeface="Arial" pitchFamily="34" charset="0"/>
              </a:rPr>
              <a:t> </a:t>
            </a:r>
            <a:r>
              <a:rPr lang="en-US" sz="1400">
                <a:latin typeface="Arial" pitchFamily="34" charset="0"/>
                <a:cs typeface="Arial" pitchFamily="34" charset="0"/>
              </a:rPr>
              <a:t>End</a:t>
            </a:r>
            <a:r>
              <a:rPr lang="en-US" sz="1400" baseline="0">
                <a:latin typeface="Arial" pitchFamily="34" charset="0"/>
                <a:cs typeface="Arial" pitchFamily="34" charset="0"/>
              </a:rPr>
              <a:t> of Year Fund Balance </a:t>
            </a:r>
          </a:p>
        </c:rich>
      </c:tx>
      <c:layout>
        <c:manualLayout>
          <c:xMode val="edge"/>
          <c:yMode val="edge"/>
          <c:x val="0.32953816379087186"/>
          <c:y val="0"/>
        </c:manualLayout>
      </c:layout>
      <c:overlay val="1"/>
    </c:title>
    <c:autoTitleDeleted val="0"/>
    <c:plotArea>
      <c:layout>
        <c:manualLayout>
          <c:layoutTarget val="inner"/>
          <c:xMode val="edge"/>
          <c:yMode val="edge"/>
          <c:x val="0.15276154996754401"/>
          <c:y val="0.16140622205210903"/>
          <c:w val="0.81670081562385421"/>
          <c:h val="0.70476816162769196"/>
        </c:manualLayout>
      </c:layout>
      <c:lineChart>
        <c:grouping val="standard"/>
        <c:varyColors val="0"/>
        <c:ser>
          <c:idx val="1"/>
          <c:order val="0"/>
          <c:tx>
            <c:v>New Rates</c:v>
          </c:tx>
          <c:spPr>
            <a:ln w="38100">
              <a:solidFill>
                <a:schemeClr val="accent1">
                  <a:lumMod val="75000"/>
                </a:schemeClr>
              </a:solidFill>
            </a:ln>
          </c:spPr>
          <c:marker>
            <c:symbol val="none"/>
          </c:marker>
          <c:cat>
            <c:numRef>
              <c:f>'Fund Balance - Existing Rates'!$C$5:$X$5</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'Fund Balance - New Rates'!$C$91:$W$91</c:f>
              <c:numCache>
                <c:formatCode>_("$"* #,##0_);_("$"* \(#,##0\);_("$"* "-"??_);_(@_)</c:formatCode>
                <c:ptCount val="21"/>
                <c:pt idx="0">
                  <c:v>1713448.9920000001</c:v>
                </c:pt>
                <c:pt idx="1">
                  <c:v>1818757.9168275001</c:v>
                </c:pt>
                <c:pt idx="2">
                  <c:v>1889333.3670634502</c:v>
                </c:pt>
                <c:pt idx="3">
                  <c:v>1943565.2417629487</c:v>
                </c:pt>
                <c:pt idx="4">
                  <c:v>1959781.5725348105</c:v>
                </c:pt>
                <c:pt idx="5">
                  <c:v>1936245.9838993105</c:v>
                </c:pt>
                <c:pt idx="6">
                  <c:v>1877123.5131126998</c:v>
                </c:pt>
                <c:pt idx="7">
                  <c:v>1774938.2819424642</c:v>
                </c:pt>
                <c:pt idx="8">
                  <c:v>1630531.1368837229</c:v>
                </c:pt>
                <c:pt idx="9">
                  <c:v>1439475.4161220009</c:v>
                </c:pt>
                <c:pt idx="10">
                  <c:v>1149665.8458658177</c:v>
                </c:pt>
                <c:pt idx="11">
                  <c:v>808915.33515418344</c:v>
                </c:pt>
                <c:pt idx="12">
                  <c:v>414951.64380207891</c:v>
                </c:pt>
                <c:pt idx="13">
                  <c:v>-34586.081620399607</c:v>
                </c:pt>
                <c:pt idx="14">
                  <c:v>-542150.90908305184</c:v>
                </c:pt>
                <c:pt idx="15">
                  <c:v>-1110291.8651842151</c:v>
                </c:pt>
                <c:pt idx="16">
                  <c:v>-1740702.1102046573</c:v>
                </c:pt>
                <c:pt idx="17">
                  <c:v>-2436736.8307186379</c:v>
                </c:pt>
                <c:pt idx="18">
                  <c:v>-3201259.283351507</c:v>
                </c:pt>
                <c:pt idx="19">
                  <c:v>-4034469.5121811866</c:v>
                </c:pt>
                <c:pt idx="20">
                  <c:v>-4941862.5529971235</c:v>
                </c:pt>
              </c:numCache>
            </c:numRef>
          </c:val>
          <c:smooth val="0"/>
          <c:extLst>
            <c:ext xmlns:c16="http://schemas.microsoft.com/office/drawing/2014/chart" uri="{C3380CC4-5D6E-409C-BE32-E72D297353CC}">
              <c16:uniqueId val="{00000000-0B64-4DA3-BBE3-535280C60D35}"/>
            </c:ext>
          </c:extLst>
        </c:ser>
        <c:ser>
          <c:idx val="0"/>
          <c:order val="1"/>
          <c:tx>
            <c:v>Existing Rates</c:v>
          </c:tx>
          <c:spPr>
            <a:ln w="38100">
              <a:solidFill>
                <a:schemeClr val="accent2">
                  <a:lumMod val="75000"/>
                </a:schemeClr>
              </a:solidFill>
              <a:prstDash val="sysDash"/>
            </a:ln>
          </c:spPr>
          <c:marker>
            <c:symbol val="none"/>
          </c:marker>
          <c:cat>
            <c:numRef>
              <c:f>'Fund Balance - Existing Rates'!$C$5:$X$5</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cat>
          <c:val>
            <c:numRef>
              <c:f>'Fund Balance - Existing Rates'!$C$91:$W$91</c:f>
              <c:numCache>
                <c:formatCode>_("$"* #,##0_);_("$"* \(#,##0\);_("$"* "-"??_);_(@_)</c:formatCode>
                <c:ptCount val="21"/>
                <c:pt idx="0">
                  <c:v>1713448.9920000001</c:v>
                </c:pt>
                <c:pt idx="1">
                  <c:v>1645024.7280000001</c:v>
                </c:pt>
                <c:pt idx="2">
                  <c:v>1540979.7445440001</c:v>
                </c:pt>
                <c:pt idx="3">
                  <c:v>1419707.0679291205</c:v>
                </c:pt>
                <c:pt idx="4">
                  <c:v>1259537.7727293381</c:v>
                </c:pt>
                <c:pt idx="5">
                  <c:v>1058738.4440541426</c:v>
                </c:pt>
                <c:pt idx="6">
                  <c:v>821318.48953207734</c:v>
                </c:pt>
                <c:pt idx="7">
                  <c:v>539905.06169649994</c:v>
                </c:pt>
                <c:pt idx="8">
                  <c:v>214883.67599179049</c:v>
                </c:pt>
                <c:pt idx="9">
                  <c:v>-157769.23274637142</c:v>
                </c:pt>
                <c:pt idx="10">
                  <c:v>-630155.9218683748</c:v>
                </c:pt>
                <c:pt idx="11">
                  <c:v>-1154460.5443524043</c:v>
                </c:pt>
                <c:pt idx="12">
                  <c:v>-1732952.4791461872</c:v>
                </c:pt>
                <c:pt idx="13">
                  <c:v>-2367989.7935122428</c:v>
                </c:pt>
                <c:pt idx="14">
                  <c:v>-3062022.8426836231</c:v>
                </c:pt>
                <c:pt idx="15">
                  <c:v>-3817598.0123488219</c:v>
                </c:pt>
                <c:pt idx="16">
                  <c:v>-4636563.3051274056</c:v>
                </c:pt>
                <c:pt idx="17">
                  <c:v>-5522171.1982047949</c:v>
                </c:pt>
                <c:pt idx="18">
                  <c:v>-6477282.3091505161</c:v>
                </c:pt>
                <c:pt idx="19">
                  <c:v>-7502551.2167114224</c:v>
                </c:pt>
                <c:pt idx="20">
                  <c:v>-8603070.2524890378</c:v>
                </c:pt>
              </c:numCache>
            </c:numRef>
          </c:val>
          <c:smooth val="0"/>
          <c:extLst>
            <c:ext xmlns:c16="http://schemas.microsoft.com/office/drawing/2014/chart" uri="{C3380CC4-5D6E-409C-BE32-E72D297353CC}">
              <c16:uniqueId val="{00000001-0B64-4DA3-BBE3-535280C60D35}"/>
            </c:ext>
          </c:extLst>
        </c:ser>
        <c:ser>
          <c:idx val="2"/>
          <c:order val="2"/>
          <c:spPr>
            <a:ln w="38100" cap="sq">
              <a:solidFill>
                <a:schemeClr val="tx1"/>
              </a:solidFill>
              <a:prstDash val="sysDot"/>
              <a:miter lim="800000"/>
            </a:ln>
          </c:spPr>
          <c:marker>
            <c:symbol val="none"/>
          </c:marker>
          <c:val>
            <c:numRef>
              <c:f>Charts!$B$111:$V$111</c:f>
              <c:numCache>
                <c:formatCode>_("$"* #,##0_);_("$"* \(#,##0\);_("$"* "-"??_);_(@_)</c:formatCode>
                <c:ptCount val="21"/>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pt idx="12">
                  <c:v>1000000</c:v>
                </c:pt>
                <c:pt idx="13">
                  <c:v>1000000</c:v>
                </c:pt>
                <c:pt idx="14">
                  <c:v>1000000</c:v>
                </c:pt>
                <c:pt idx="15">
                  <c:v>1000000</c:v>
                </c:pt>
                <c:pt idx="16">
                  <c:v>1000000</c:v>
                </c:pt>
                <c:pt idx="17">
                  <c:v>1000000</c:v>
                </c:pt>
                <c:pt idx="18">
                  <c:v>1000000</c:v>
                </c:pt>
                <c:pt idx="19">
                  <c:v>1000000</c:v>
                </c:pt>
                <c:pt idx="20">
                  <c:v>1000000</c:v>
                </c:pt>
              </c:numCache>
            </c:numRef>
          </c:val>
          <c:smooth val="0"/>
          <c:extLst>
            <c:ext xmlns:c16="http://schemas.microsoft.com/office/drawing/2014/chart" uri="{C3380CC4-5D6E-409C-BE32-E72D297353CC}">
              <c16:uniqueId val="{00000002-0B64-4DA3-BBE3-535280C60D35}"/>
            </c:ext>
          </c:extLst>
        </c:ser>
        <c:dLbls>
          <c:showLegendKey val="0"/>
          <c:showVal val="0"/>
          <c:showCatName val="0"/>
          <c:showSerName val="0"/>
          <c:showPercent val="0"/>
          <c:showBubbleSize val="0"/>
        </c:dLbls>
        <c:smooth val="0"/>
        <c:axId val="43993344"/>
        <c:axId val="43999232"/>
      </c:lineChart>
      <c:catAx>
        <c:axId val="43993344"/>
        <c:scaling>
          <c:orientation val="minMax"/>
        </c:scaling>
        <c:delete val="0"/>
        <c:axPos val="b"/>
        <c:majorGridlines>
          <c:spPr>
            <a:ln>
              <a:solidFill>
                <a:sysClr val="windowText" lastClr="000000">
                  <a:alpha val="10000"/>
                </a:sysClr>
              </a:solidFill>
            </a:ln>
          </c:spPr>
        </c:majorGridlines>
        <c:numFmt formatCode="General" sourceLinked="1"/>
        <c:majorTickMark val="out"/>
        <c:minorTickMark val="none"/>
        <c:tickLblPos val="low"/>
        <c:txPr>
          <a:bodyPr rot="-2700000"/>
          <a:lstStyle/>
          <a:p>
            <a:pPr>
              <a:defRPr sz="900">
                <a:latin typeface="Arial" pitchFamily="34" charset="0"/>
                <a:cs typeface="Arial" pitchFamily="34" charset="0"/>
              </a:defRPr>
            </a:pPr>
            <a:endParaRPr lang="en-US"/>
          </a:p>
        </c:txPr>
        <c:crossAx val="43999232"/>
        <c:crosses val="autoZero"/>
        <c:auto val="1"/>
        <c:lblAlgn val="ctr"/>
        <c:lblOffset val="100"/>
        <c:noMultiLvlLbl val="0"/>
      </c:catAx>
      <c:valAx>
        <c:axId val="43999232"/>
        <c:scaling>
          <c:orientation val="minMax"/>
        </c:scaling>
        <c:delete val="0"/>
        <c:axPos val="l"/>
        <c:majorGridlines>
          <c:spPr>
            <a:ln>
              <a:solidFill>
                <a:sysClr val="windowText" lastClr="000000">
                  <a:alpha val="9000"/>
                </a:sysClr>
              </a:solidFill>
            </a:ln>
          </c:spPr>
        </c:majorGridlines>
        <c:numFmt formatCode="_(&quot;$&quot;* #,##0_);_(&quot;$&quot;* \(#,##0\);_(&quot;$&quot;* &quot;-&quot;_);_(@_)" sourceLinked="0"/>
        <c:majorTickMark val="out"/>
        <c:minorTickMark val="none"/>
        <c:tickLblPos val="nextTo"/>
        <c:txPr>
          <a:bodyPr/>
          <a:lstStyle/>
          <a:p>
            <a:pPr>
              <a:defRPr sz="900">
                <a:latin typeface="Arial" pitchFamily="34" charset="0"/>
                <a:cs typeface="Arial" pitchFamily="34" charset="0"/>
              </a:defRPr>
            </a:pPr>
            <a:endParaRPr lang="en-US"/>
          </a:p>
        </c:txPr>
        <c:crossAx val="43993344"/>
        <c:crosses val="autoZero"/>
        <c:crossBetween val="midCat"/>
      </c:valAx>
      <c:spPr>
        <a:solidFill>
          <a:schemeClr val="bg1">
            <a:lumMod val="95000"/>
          </a:schemeClr>
        </a:solidFill>
        <a:ln>
          <a:solidFill>
            <a:sysClr val="windowText" lastClr="000000"/>
          </a:solidFill>
        </a:ln>
        <a:effectLst>
          <a:outerShdw blurRad="50800" dist="152400" dir="8760000" sx="95000" sy="95000" algn="ctr" rotWithShape="0">
            <a:srgbClr val="000000">
              <a:alpha val="99000"/>
            </a:srgbClr>
          </a:outerShdw>
        </a:effectLst>
      </c:spPr>
    </c:plotArea>
    <c:legend>
      <c:legendPos val="r"/>
      <c:legendEntry>
        <c:idx val="2"/>
        <c:delete val="1"/>
      </c:legendEntry>
      <c:layout>
        <c:manualLayout>
          <c:xMode val="edge"/>
          <c:yMode val="edge"/>
          <c:x val="0.72704194636114505"/>
          <c:y val="0.13472569689465438"/>
          <c:w val="0.24355716622455298"/>
          <c:h val="9.5014290723320613E-2"/>
        </c:manualLayout>
      </c:layout>
      <c:overlay val="0"/>
      <c:spPr>
        <a:solidFill>
          <a:schemeClr val="bg1">
            <a:lumMod val="85000"/>
          </a:schemeClr>
        </a:solidFill>
        <a:ln>
          <a:solidFill>
            <a:sysClr val="windowText" lastClr="000000"/>
          </a:solidFill>
        </a:ln>
        <a:effectLst>
          <a:outerShdw blurRad="50800" dist="50800" dir="8880000" sx="95000" sy="95000" algn="ctr" rotWithShape="0">
            <a:srgbClr val="000000">
              <a:alpha val="99000"/>
            </a:srgbClr>
          </a:outerShdw>
        </a:effectLst>
      </c:spPr>
      <c:txPr>
        <a:bodyPr/>
        <a:lstStyle/>
        <a:p>
          <a:pPr>
            <a:defRPr sz="800">
              <a:latin typeface="Arial" pitchFamily="34" charset="0"/>
              <a:cs typeface="Arial" pitchFamily="34" charset="0"/>
            </a:defRPr>
          </a:pPr>
          <a:endParaRPr lang="en-US"/>
        </a:p>
      </c:txPr>
    </c:legend>
    <c:plotVisOnly val="1"/>
    <c:dispBlanksAs val="gap"/>
    <c:showDLblsOverMax val="0"/>
  </c:chart>
  <c:spPr>
    <a:pattFill prst="pct50">
      <a:fgClr>
        <a:schemeClr val="bg1">
          <a:lumMod val="65000"/>
        </a:schemeClr>
      </a:fgClr>
      <a:bgClr>
        <a:schemeClr val="accent3">
          <a:lumMod val="60000"/>
          <a:lumOff val="40000"/>
        </a:schemeClr>
      </a:bgClr>
    </a:pattFill>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latin typeface="Arial" pitchFamily="34" charset="0"/>
                <a:cs typeface="Arial" pitchFamily="34" charset="0"/>
              </a:rPr>
              <a:t>Projected Operating Ratio: </a:t>
            </a:r>
          </a:p>
          <a:p>
            <a:pPr>
              <a:defRPr sz="1400"/>
            </a:pPr>
            <a:r>
              <a:rPr lang="en-US" sz="1400">
                <a:latin typeface="Arial" pitchFamily="34" charset="0"/>
                <a:cs typeface="Arial" pitchFamily="34" charset="0"/>
              </a:rPr>
              <a:t>Total Revenues / Total </a:t>
            </a:r>
            <a:r>
              <a:rPr lang="en-US" sz="1400" baseline="0">
                <a:latin typeface="Arial" pitchFamily="34" charset="0"/>
                <a:cs typeface="Arial" pitchFamily="34" charset="0"/>
              </a:rPr>
              <a:t>Expenses  Incl. Capital Costs</a:t>
            </a:r>
          </a:p>
        </c:rich>
      </c:tx>
      <c:layout>
        <c:manualLayout>
          <c:xMode val="edge"/>
          <c:yMode val="edge"/>
          <c:x val="0.25087318613096277"/>
          <c:y val="4.481129922336775E-3"/>
        </c:manualLayout>
      </c:layout>
      <c:overlay val="1"/>
    </c:title>
    <c:autoTitleDeleted val="0"/>
    <c:plotArea>
      <c:layout>
        <c:manualLayout>
          <c:layoutTarget val="inner"/>
          <c:xMode val="edge"/>
          <c:yMode val="edge"/>
          <c:x val="0.15966355385506456"/>
          <c:y val="0.16536949277618274"/>
          <c:w val="0.81670081562385421"/>
          <c:h val="0.71335645861911712"/>
        </c:manualLayout>
      </c:layout>
      <c:lineChart>
        <c:grouping val="standard"/>
        <c:varyColors val="0"/>
        <c:ser>
          <c:idx val="1"/>
          <c:order val="0"/>
          <c:tx>
            <c:v>New Rates</c:v>
          </c:tx>
          <c:spPr>
            <a:ln w="38100">
              <a:solidFill>
                <a:schemeClr val="accent1">
                  <a:lumMod val="75000"/>
                </a:schemeClr>
              </a:solidFill>
            </a:ln>
          </c:spPr>
          <c:marker>
            <c:symbol val="none"/>
          </c:marker>
          <c:cat>
            <c:numRef>
              <c:f>Charts!$B$110:$V$110</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cat>
          <c:val>
            <c:numRef>
              <c:f>'Fund Balance - New Rates'!$C$90:$W$90</c:f>
              <c:numCache>
                <c:formatCode>_(* #,##0.00_);_(* \(#,##0.00\);_(* "-"??_);_(@_)</c:formatCode>
                <c:ptCount val="21"/>
                <c:pt idx="0">
                  <c:v>0.96</c:v>
                </c:pt>
                <c:pt idx="1">
                  <c:v>1.1000000000000001</c:v>
                </c:pt>
                <c:pt idx="2">
                  <c:v>1.07</c:v>
                </c:pt>
                <c:pt idx="3">
                  <c:v>1.05</c:v>
                </c:pt>
                <c:pt idx="4">
                  <c:v>1.01</c:v>
                </c:pt>
                <c:pt idx="5">
                  <c:v>0.98</c:v>
                </c:pt>
                <c:pt idx="6">
                  <c:v>0.95</c:v>
                </c:pt>
                <c:pt idx="7">
                  <c:v>0.92</c:v>
                </c:pt>
                <c:pt idx="8">
                  <c:v>0.89</c:v>
                </c:pt>
                <c:pt idx="9">
                  <c:v>0.86</c:v>
                </c:pt>
                <c:pt idx="10">
                  <c:v>0.8</c:v>
                </c:pt>
                <c:pt idx="11">
                  <c:v>0.77</c:v>
                </c:pt>
                <c:pt idx="12">
                  <c:v>0.75</c:v>
                </c:pt>
                <c:pt idx="13">
                  <c:v>0.72</c:v>
                </c:pt>
                <c:pt idx="14">
                  <c:v>0.7</c:v>
                </c:pt>
                <c:pt idx="15">
                  <c:v>0.68</c:v>
                </c:pt>
                <c:pt idx="16">
                  <c:v>0.65</c:v>
                </c:pt>
                <c:pt idx="17">
                  <c:v>0.63</c:v>
                </c:pt>
                <c:pt idx="18">
                  <c:v>0.61</c:v>
                </c:pt>
                <c:pt idx="19">
                  <c:v>0.59</c:v>
                </c:pt>
                <c:pt idx="20">
                  <c:v>0.56999999999999995</c:v>
                </c:pt>
              </c:numCache>
            </c:numRef>
          </c:val>
          <c:smooth val="0"/>
          <c:extLst>
            <c:ext xmlns:c16="http://schemas.microsoft.com/office/drawing/2014/chart" uri="{C3380CC4-5D6E-409C-BE32-E72D297353CC}">
              <c16:uniqueId val="{00000000-CD20-4AA3-87E5-E5992B985520}"/>
            </c:ext>
          </c:extLst>
        </c:ser>
        <c:ser>
          <c:idx val="0"/>
          <c:order val="1"/>
          <c:tx>
            <c:v>Existing Rates</c:v>
          </c:tx>
          <c:spPr>
            <a:ln w="38100">
              <a:solidFill>
                <a:schemeClr val="accent2">
                  <a:lumMod val="75000"/>
                </a:schemeClr>
              </a:solidFill>
              <a:prstDash val="sysDash"/>
            </a:ln>
          </c:spPr>
          <c:marker>
            <c:symbol val="none"/>
          </c:marker>
          <c:cat>
            <c:numRef>
              <c:f>Charts!$B$110:$V$110</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cat>
          <c:val>
            <c:numRef>
              <c:f>'Fund Balance - Existing Rates'!$C$90:$W$90</c:f>
              <c:numCache>
                <c:formatCode>_(* #,##0.00_);_(* \(#,##0.00\);_(* "-"??_);_(@_)</c:formatCode>
                <c:ptCount val="21"/>
                <c:pt idx="0">
                  <c:v>0.96</c:v>
                </c:pt>
                <c:pt idx="1">
                  <c:v>0.93</c:v>
                </c:pt>
                <c:pt idx="2">
                  <c:v>0.9</c:v>
                </c:pt>
                <c:pt idx="3">
                  <c:v>0.89</c:v>
                </c:pt>
                <c:pt idx="4">
                  <c:v>0.86</c:v>
                </c:pt>
                <c:pt idx="5">
                  <c:v>0.83</c:v>
                </c:pt>
                <c:pt idx="6">
                  <c:v>0.8</c:v>
                </c:pt>
                <c:pt idx="7">
                  <c:v>0.77</c:v>
                </c:pt>
                <c:pt idx="8">
                  <c:v>0.75</c:v>
                </c:pt>
                <c:pt idx="9">
                  <c:v>0.72</c:v>
                </c:pt>
                <c:pt idx="10">
                  <c:v>0.67</c:v>
                </c:pt>
                <c:pt idx="11">
                  <c:v>0.65</c:v>
                </c:pt>
                <c:pt idx="12">
                  <c:v>0.63</c:v>
                </c:pt>
                <c:pt idx="13">
                  <c:v>0.61</c:v>
                </c:pt>
                <c:pt idx="14">
                  <c:v>0.59</c:v>
                </c:pt>
                <c:pt idx="15">
                  <c:v>0.56999999999999995</c:v>
                </c:pt>
                <c:pt idx="16">
                  <c:v>0.55000000000000004</c:v>
                </c:pt>
                <c:pt idx="17">
                  <c:v>0.53</c:v>
                </c:pt>
                <c:pt idx="18">
                  <c:v>0.51</c:v>
                </c:pt>
                <c:pt idx="19">
                  <c:v>0.5</c:v>
                </c:pt>
                <c:pt idx="20">
                  <c:v>0.48</c:v>
                </c:pt>
              </c:numCache>
            </c:numRef>
          </c:val>
          <c:smooth val="0"/>
          <c:extLst>
            <c:ext xmlns:c16="http://schemas.microsoft.com/office/drawing/2014/chart" uri="{C3380CC4-5D6E-409C-BE32-E72D297353CC}">
              <c16:uniqueId val="{00000001-CD20-4AA3-87E5-E5992B985520}"/>
            </c:ext>
          </c:extLst>
        </c:ser>
        <c:ser>
          <c:idx val="2"/>
          <c:order val="2"/>
          <c:spPr>
            <a:ln w="38100" cap="sq">
              <a:solidFill>
                <a:schemeClr val="tx1"/>
              </a:solidFill>
              <a:prstDash val="sysDot"/>
              <a:miter lim="800000"/>
            </a:ln>
          </c:spPr>
          <c:marker>
            <c:symbol val="none"/>
          </c:marker>
          <c:cat>
            <c:numRef>
              <c:f>Charts!$B$110:$V$110</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cat>
          <c:val>
            <c:numRef>
              <c:f>Charts!$B$113:$V$113</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0"/>
          <c:extLst>
            <c:ext xmlns:c16="http://schemas.microsoft.com/office/drawing/2014/chart" uri="{C3380CC4-5D6E-409C-BE32-E72D297353CC}">
              <c16:uniqueId val="{00000002-CD20-4AA3-87E5-E5992B985520}"/>
            </c:ext>
          </c:extLst>
        </c:ser>
        <c:dLbls>
          <c:showLegendKey val="0"/>
          <c:showVal val="0"/>
          <c:showCatName val="0"/>
          <c:showSerName val="0"/>
          <c:showPercent val="0"/>
          <c:showBubbleSize val="0"/>
        </c:dLbls>
        <c:smooth val="0"/>
        <c:axId val="44022016"/>
        <c:axId val="44023808"/>
      </c:lineChart>
      <c:catAx>
        <c:axId val="44022016"/>
        <c:scaling>
          <c:orientation val="minMax"/>
        </c:scaling>
        <c:delete val="0"/>
        <c:axPos val="b"/>
        <c:majorGridlines>
          <c:spPr>
            <a:ln>
              <a:solidFill>
                <a:schemeClr val="bg1">
                  <a:lumMod val="85000"/>
                </a:schemeClr>
              </a:solidFill>
            </a:ln>
          </c:spPr>
        </c:majorGridlines>
        <c:numFmt formatCode="General" sourceLinked="1"/>
        <c:majorTickMark val="out"/>
        <c:minorTickMark val="none"/>
        <c:tickLblPos val="low"/>
        <c:txPr>
          <a:bodyPr rot="-2700000"/>
          <a:lstStyle/>
          <a:p>
            <a:pPr>
              <a:defRPr sz="900">
                <a:latin typeface="Arial" pitchFamily="34" charset="0"/>
                <a:cs typeface="Arial" pitchFamily="34" charset="0"/>
              </a:defRPr>
            </a:pPr>
            <a:endParaRPr lang="en-US"/>
          </a:p>
        </c:txPr>
        <c:crossAx val="44023808"/>
        <c:crosses val="autoZero"/>
        <c:auto val="1"/>
        <c:lblAlgn val="ctr"/>
        <c:lblOffset val="100"/>
        <c:noMultiLvlLbl val="0"/>
      </c:catAx>
      <c:valAx>
        <c:axId val="44023808"/>
        <c:scaling>
          <c:orientation val="minMax"/>
          <c:min val="0"/>
        </c:scaling>
        <c:delete val="0"/>
        <c:axPos val="l"/>
        <c:majorGridlines>
          <c:spPr>
            <a:ln>
              <a:solidFill>
                <a:schemeClr val="bg1">
                  <a:lumMod val="85000"/>
                </a:schemeClr>
              </a:solidFill>
            </a:ln>
          </c:spPr>
        </c:majorGridlines>
        <c:title>
          <c:tx>
            <c:rich>
              <a:bodyPr rot="-5400000" vert="horz"/>
              <a:lstStyle/>
              <a:p>
                <a:pPr>
                  <a:defRPr sz="1000">
                    <a:latin typeface="Arial" pitchFamily="34" charset="0"/>
                    <a:cs typeface="Arial" pitchFamily="34" charset="0"/>
                  </a:defRPr>
                </a:pPr>
                <a:r>
                  <a:rPr lang="en-US" sz="1000">
                    <a:latin typeface="Arial" pitchFamily="34" charset="0"/>
                    <a:cs typeface="Arial" pitchFamily="34" charset="0"/>
                  </a:rPr>
                  <a:t>Target:</a:t>
                </a:r>
                <a:r>
                  <a:rPr lang="en-US" sz="1000" baseline="0">
                    <a:latin typeface="Arial" pitchFamily="34" charset="0"/>
                    <a:cs typeface="Arial" pitchFamily="34" charset="0"/>
                  </a:rPr>
                  <a:t> Greater than 1.0</a:t>
                </a:r>
                <a:endParaRPr lang="en-US" sz="1000">
                  <a:latin typeface="Arial" pitchFamily="34" charset="0"/>
                  <a:cs typeface="Arial" pitchFamily="34" charset="0"/>
                </a:endParaRPr>
              </a:p>
            </c:rich>
          </c:tx>
          <c:layout>
            <c:manualLayout>
              <c:xMode val="edge"/>
              <c:yMode val="edge"/>
              <c:x val="7.000680821393146E-2"/>
              <c:y val="0.24567995796332992"/>
            </c:manualLayout>
          </c:layout>
          <c:overlay val="0"/>
        </c:title>
        <c:numFmt formatCode="_(* #,##0.00_);_(* \(#,##0.00\);_(* &quot;-&quot;??_);_(@_)" sourceLinked="1"/>
        <c:majorTickMark val="out"/>
        <c:minorTickMark val="none"/>
        <c:tickLblPos val="nextTo"/>
        <c:txPr>
          <a:bodyPr/>
          <a:lstStyle/>
          <a:p>
            <a:pPr>
              <a:defRPr sz="900">
                <a:latin typeface="Arial" pitchFamily="34" charset="0"/>
                <a:cs typeface="Arial" pitchFamily="34" charset="0"/>
              </a:defRPr>
            </a:pPr>
            <a:endParaRPr lang="en-US"/>
          </a:p>
        </c:txPr>
        <c:crossAx val="44022016"/>
        <c:crosses val="autoZero"/>
        <c:crossBetween val="midCat"/>
      </c:valAx>
      <c:spPr>
        <a:solidFill>
          <a:schemeClr val="bg1">
            <a:lumMod val="95000"/>
          </a:schemeClr>
        </a:solidFill>
        <a:ln>
          <a:solidFill>
            <a:sysClr val="windowText" lastClr="000000"/>
          </a:solidFill>
        </a:ln>
        <a:effectLst>
          <a:outerShdw blurRad="50800" dist="152400" dir="8760000" sx="95000" sy="95000" algn="ctr" rotWithShape="0">
            <a:srgbClr val="000000">
              <a:alpha val="99000"/>
            </a:srgbClr>
          </a:outerShdw>
        </a:effectLst>
      </c:spPr>
    </c:plotArea>
    <c:legend>
      <c:legendPos val="r"/>
      <c:legendEntry>
        <c:idx val="2"/>
        <c:delete val="1"/>
      </c:legendEntry>
      <c:layout>
        <c:manualLayout>
          <c:xMode val="edge"/>
          <c:yMode val="edge"/>
          <c:x val="0.73413001033218528"/>
          <c:y val="0.1519022908775042"/>
          <c:w val="0.24355716622455298"/>
          <c:h val="9.5014290723320613E-2"/>
        </c:manualLayout>
      </c:layout>
      <c:overlay val="0"/>
      <c:spPr>
        <a:solidFill>
          <a:schemeClr val="bg1">
            <a:lumMod val="85000"/>
          </a:schemeClr>
        </a:solidFill>
        <a:ln>
          <a:solidFill>
            <a:sysClr val="windowText" lastClr="000000"/>
          </a:solidFill>
        </a:ln>
        <a:effectLst>
          <a:outerShdw blurRad="50800" dist="50800" dir="8880000" sx="95000" sy="95000" algn="ctr" rotWithShape="0">
            <a:srgbClr val="000000">
              <a:alpha val="99000"/>
            </a:srgbClr>
          </a:outerShdw>
        </a:effectLst>
      </c:spPr>
      <c:txPr>
        <a:bodyPr/>
        <a:lstStyle/>
        <a:p>
          <a:pPr>
            <a:defRPr sz="800">
              <a:latin typeface="Arial" pitchFamily="34" charset="0"/>
              <a:cs typeface="Arial" pitchFamily="34" charset="0"/>
            </a:defRPr>
          </a:pPr>
          <a:endParaRPr lang="en-US"/>
        </a:p>
      </c:txPr>
    </c:legend>
    <c:plotVisOnly val="1"/>
    <c:dispBlanksAs val="gap"/>
    <c:showDLblsOverMax val="0"/>
  </c:chart>
  <c:spPr>
    <a:pattFill prst="pct50">
      <a:fgClr>
        <a:schemeClr val="bg1">
          <a:lumMod val="65000"/>
        </a:schemeClr>
      </a:fgClr>
      <a:bgClr>
        <a:schemeClr val="accent3">
          <a:lumMod val="60000"/>
          <a:lumOff val="40000"/>
        </a:schemeClr>
      </a:bgClr>
    </a:patt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latin typeface="Arial" pitchFamily="34" charset="0"/>
                <a:cs typeface="Arial" pitchFamily="34" charset="0"/>
              </a:rPr>
              <a:t>Residential Water Monthly Bills</a:t>
            </a:r>
            <a:endParaRPr lang="en-US" sz="1200" baseline="0">
              <a:latin typeface="Arial" pitchFamily="34" charset="0"/>
              <a:cs typeface="Arial" pitchFamily="34" charset="0"/>
            </a:endParaRPr>
          </a:p>
        </c:rich>
      </c:tx>
      <c:layout>
        <c:manualLayout>
          <c:xMode val="edge"/>
          <c:yMode val="edge"/>
          <c:x val="0.18878807493000685"/>
          <c:y val="3.3789289194411466E-2"/>
        </c:manualLayout>
      </c:layout>
      <c:overlay val="1"/>
    </c:title>
    <c:autoTitleDeleted val="0"/>
    <c:plotArea>
      <c:layout>
        <c:manualLayout>
          <c:layoutTarget val="inner"/>
          <c:xMode val="edge"/>
          <c:yMode val="edge"/>
          <c:x val="9.071234048148806E-2"/>
          <c:y val="0.16140622205210903"/>
          <c:w val="0.87875008707132818"/>
          <c:h val="0.61607119695896384"/>
        </c:manualLayout>
      </c:layout>
      <c:lineChart>
        <c:grouping val="standard"/>
        <c:varyColors val="0"/>
        <c:ser>
          <c:idx val="1"/>
          <c:order val="0"/>
          <c:tx>
            <c:v>New Rates</c:v>
          </c:tx>
          <c:spPr>
            <a:ln w="38100">
              <a:solidFill>
                <a:schemeClr val="accent1">
                  <a:lumMod val="75000"/>
                </a:schemeClr>
              </a:solidFill>
            </a:ln>
          </c:spPr>
          <c:marker>
            <c:symbol val="none"/>
          </c:marker>
          <c:cat>
            <c:numRef>
              <c:f>'Compare Monthly Bills'!$Q$8:$Q$28</c:f>
              <c:numCache>
                <c:formatCode>#,##0</c:formatCode>
                <c:ptCount val="2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numCache>
            </c:numRef>
          </c:cat>
          <c:val>
            <c:numRef>
              <c:f>'Compare Monthly Bills'!$U$8:$U$28</c:f>
              <c:numCache>
                <c:formatCode>"$"#,##0.00</c:formatCode>
                <c:ptCount val="21"/>
                <c:pt idx="0">
                  <c:v>20</c:v>
                </c:pt>
                <c:pt idx="1">
                  <c:v>21.75</c:v>
                </c:pt>
                <c:pt idx="2">
                  <c:v>23.5</c:v>
                </c:pt>
                <c:pt idx="3">
                  <c:v>25.25</c:v>
                </c:pt>
                <c:pt idx="4">
                  <c:v>27.5</c:v>
                </c:pt>
                <c:pt idx="5">
                  <c:v>29.75</c:v>
                </c:pt>
                <c:pt idx="6">
                  <c:v>32</c:v>
                </c:pt>
                <c:pt idx="7">
                  <c:v>34.25</c:v>
                </c:pt>
                <c:pt idx="8">
                  <c:v>36.5</c:v>
                </c:pt>
                <c:pt idx="9">
                  <c:v>40.75</c:v>
                </c:pt>
                <c:pt idx="10">
                  <c:v>45</c:v>
                </c:pt>
                <c:pt idx="11">
                  <c:v>49.25</c:v>
                </c:pt>
                <c:pt idx="12">
                  <c:v>53.5</c:v>
                </c:pt>
                <c:pt idx="13">
                  <c:v>57.75</c:v>
                </c:pt>
                <c:pt idx="14">
                  <c:v>62</c:v>
                </c:pt>
                <c:pt idx="15">
                  <c:v>66.25</c:v>
                </c:pt>
                <c:pt idx="16">
                  <c:v>70.5</c:v>
                </c:pt>
                <c:pt idx="17">
                  <c:v>74.75</c:v>
                </c:pt>
                <c:pt idx="18">
                  <c:v>79</c:v>
                </c:pt>
                <c:pt idx="19">
                  <c:v>83.25</c:v>
                </c:pt>
                <c:pt idx="20">
                  <c:v>87.5</c:v>
                </c:pt>
              </c:numCache>
            </c:numRef>
          </c:val>
          <c:smooth val="0"/>
          <c:extLst>
            <c:ext xmlns:c16="http://schemas.microsoft.com/office/drawing/2014/chart" uri="{C3380CC4-5D6E-409C-BE32-E72D297353CC}">
              <c16:uniqueId val="{00000000-0B04-48FC-9798-B8AC93B06C61}"/>
            </c:ext>
          </c:extLst>
        </c:ser>
        <c:ser>
          <c:idx val="0"/>
          <c:order val="1"/>
          <c:tx>
            <c:v>Existing Rates</c:v>
          </c:tx>
          <c:spPr>
            <a:ln w="38100">
              <a:solidFill>
                <a:schemeClr val="tx2"/>
              </a:solidFill>
              <a:prstDash val="sysDash"/>
            </a:ln>
          </c:spPr>
          <c:marker>
            <c:symbol val="none"/>
          </c:marker>
          <c:cat>
            <c:numRef>
              <c:f>'Compare Monthly Bills'!$Q$8:$Q$28</c:f>
              <c:numCache>
                <c:formatCode>#,##0</c:formatCode>
                <c:ptCount val="2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numCache>
            </c:numRef>
          </c:cat>
          <c:val>
            <c:numRef>
              <c:f>'Compare Monthly Bills'!$S$8:$S$28</c:f>
              <c:numCache>
                <c:formatCode>"$"#,##0.00</c:formatCode>
                <c:ptCount val="21"/>
                <c:pt idx="0">
                  <c:v>16</c:v>
                </c:pt>
                <c:pt idx="1">
                  <c:v>18</c:v>
                </c:pt>
                <c:pt idx="2">
                  <c:v>20</c:v>
                </c:pt>
                <c:pt idx="3">
                  <c:v>22</c:v>
                </c:pt>
                <c:pt idx="4">
                  <c:v>24</c:v>
                </c:pt>
                <c:pt idx="5">
                  <c:v>26</c:v>
                </c:pt>
                <c:pt idx="6">
                  <c:v>28</c:v>
                </c:pt>
                <c:pt idx="7">
                  <c:v>30</c:v>
                </c:pt>
                <c:pt idx="8">
                  <c:v>32</c:v>
                </c:pt>
                <c:pt idx="9">
                  <c:v>34</c:v>
                </c:pt>
                <c:pt idx="10">
                  <c:v>36</c:v>
                </c:pt>
                <c:pt idx="11">
                  <c:v>38</c:v>
                </c:pt>
                <c:pt idx="12">
                  <c:v>40</c:v>
                </c:pt>
                <c:pt idx="13">
                  <c:v>42</c:v>
                </c:pt>
                <c:pt idx="14">
                  <c:v>44</c:v>
                </c:pt>
                <c:pt idx="15">
                  <c:v>46</c:v>
                </c:pt>
                <c:pt idx="16">
                  <c:v>48</c:v>
                </c:pt>
                <c:pt idx="17">
                  <c:v>50</c:v>
                </c:pt>
                <c:pt idx="18">
                  <c:v>52</c:v>
                </c:pt>
                <c:pt idx="19">
                  <c:v>54</c:v>
                </c:pt>
                <c:pt idx="20">
                  <c:v>56</c:v>
                </c:pt>
              </c:numCache>
            </c:numRef>
          </c:val>
          <c:smooth val="0"/>
          <c:extLst>
            <c:ext xmlns:c16="http://schemas.microsoft.com/office/drawing/2014/chart" uri="{C3380CC4-5D6E-409C-BE32-E72D297353CC}">
              <c16:uniqueId val="{00000001-0B04-48FC-9798-B8AC93B06C61}"/>
            </c:ext>
          </c:extLst>
        </c:ser>
        <c:dLbls>
          <c:showLegendKey val="0"/>
          <c:showVal val="0"/>
          <c:showCatName val="0"/>
          <c:showSerName val="0"/>
          <c:showPercent val="0"/>
          <c:showBubbleSize val="0"/>
        </c:dLbls>
        <c:smooth val="0"/>
        <c:axId val="67597824"/>
        <c:axId val="67599744"/>
      </c:lineChart>
      <c:catAx>
        <c:axId val="67597824"/>
        <c:scaling>
          <c:orientation val="minMax"/>
        </c:scaling>
        <c:delete val="0"/>
        <c:axPos val="b"/>
        <c:majorGridlines>
          <c:spPr>
            <a:ln>
              <a:solidFill>
                <a:sysClr val="windowText" lastClr="000000">
                  <a:alpha val="10000"/>
                </a:sysClr>
              </a:solidFill>
            </a:ln>
          </c:spPr>
        </c:majorGridlines>
        <c:title>
          <c:tx>
            <c:rich>
              <a:bodyPr/>
              <a:lstStyle/>
              <a:p>
                <a:pPr>
                  <a:defRPr/>
                </a:pPr>
                <a:r>
                  <a:rPr lang="en-US"/>
                  <a:t>Gallons/Month</a:t>
                </a:r>
              </a:p>
            </c:rich>
          </c:tx>
          <c:overlay val="0"/>
        </c:title>
        <c:numFmt formatCode="#,##0" sourceLinked="1"/>
        <c:majorTickMark val="out"/>
        <c:minorTickMark val="none"/>
        <c:tickLblPos val="low"/>
        <c:txPr>
          <a:bodyPr rot="-2700000"/>
          <a:lstStyle/>
          <a:p>
            <a:pPr>
              <a:defRPr sz="900">
                <a:latin typeface="Arial" pitchFamily="34" charset="0"/>
                <a:cs typeface="Arial" pitchFamily="34" charset="0"/>
              </a:defRPr>
            </a:pPr>
            <a:endParaRPr lang="en-US"/>
          </a:p>
        </c:txPr>
        <c:crossAx val="67599744"/>
        <c:crosses val="autoZero"/>
        <c:auto val="1"/>
        <c:lblAlgn val="ctr"/>
        <c:lblOffset val="100"/>
        <c:noMultiLvlLbl val="0"/>
      </c:catAx>
      <c:valAx>
        <c:axId val="67599744"/>
        <c:scaling>
          <c:orientation val="minMax"/>
          <c:min val="0"/>
        </c:scaling>
        <c:delete val="0"/>
        <c:axPos val="l"/>
        <c:majorGridlines>
          <c:spPr>
            <a:ln>
              <a:solidFill>
                <a:sysClr val="windowText" lastClr="000000">
                  <a:alpha val="9000"/>
                </a:sysClr>
              </a:solidFill>
            </a:ln>
          </c:spPr>
        </c:majorGridlines>
        <c:numFmt formatCode="_(&quot;$&quot;* #,##0_);_(&quot;$&quot;* \(#,##0\);_(&quot;$&quot;* &quot;-&quot;_);_(@_)" sourceLinked="0"/>
        <c:majorTickMark val="out"/>
        <c:minorTickMark val="none"/>
        <c:tickLblPos val="nextTo"/>
        <c:txPr>
          <a:bodyPr/>
          <a:lstStyle/>
          <a:p>
            <a:pPr>
              <a:defRPr sz="900">
                <a:latin typeface="Arial" pitchFamily="34" charset="0"/>
                <a:cs typeface="Arial" pitchFamily="34" charset="0"/>
              </a:defRPr>
            </a:pPr>
            <a:endParaRPr lang="en-US"/>
          </a:p>
        </c:txPr>
        <c:crossAx val="67597824"/>
        <c:crosses val="autoZero"/>
        <c:crossBetween val="midCat"/>
      </c:valAx>
      <c:spPr>
        <a:solidFill>
          <a:schemeClr val="bg1">
            <a:lumMod val="95000"/>
          </a:schemeClr>
        </a:solidFill>
        <a:ln>
          <a:solidFill>
            <a:sysClr val="windowText" lastClr="000000"/>
          </a:solidFill>
        </a:ln>
        <a:effectLst>
          <a:outerShdw blurRad="50800" dist="152400" dir="8760000" sx="95000" sy="95000" algn="ctr" rotWithShape="0">
            <a:srgbClr val="000000">
              <a:alpha val="99000"/>
            </a:srgbClr>
          </a:outerShdw>
        </a:effectLst>
      </c:spPr>
    </c:plotArea>
    <c:legend>
      <c:legendPos val="r"/>
      <c:layout>
        <c:manualLayout>
          <c:xMode val="edge"/>
          <c:yMode val="edge"/>
          <c:x val="0.74083964929692925"/>
          <c:y val="3.3357943642392252E-2"/>
          <c:w val="0.24355716622455298"/>
          <c:h val="9.5014290723320613E-2"/>
        </c:manualLayout>
      </c:layout>
      <c:overlay val="0"/>
      <c:spPr>
        <a:solidFill>
          <a:schemeClr val="bg1">
            <a:lumMod val="85000"/>
          </a:schemeClr>
        </a:solidFill>
        <a:ln>
          <a:solidFill>
            <a:sysClr val="windowText" lastClr="000000"/>
          </a:solidFill>
        </a:ln>
        <a:effectLst>
          <a:outerShdw blurRad="50800" dist="50800" dir="8880000" sx="95000" sy="95000" algn="ctr" rotWithShape="0">
            <a:srgbClr val="000000">
              <a:alpha val="99000"/>
            </a:srgbClr>
          </a:outerShdw>
        </a:effectLst>
      </c:spPr>
      <c:txPr>
        <a:bodyPr/>
        <a:lstStyle/>
        <a:p>
          <a:pPr>
            <a:defRPr sz="800">
              <a:latin typeface="Arial" pitchFamily="34" charset="0"/>
              <a:cs typeface="Arial" pitchFamily="34" charset="0"/>
            </a:defRPr>
          </a:pPr>
          <a:endParaRPr lang="en-US"/>
        </a:p>
      </c:txPr>
    </c:legend>
    <c:plotVisOnly val="1"/>
    <c:dispBlanksAs val="gap"/>
    <c:showDLblsOverMax val="0"/>
  </c:chart>
  <c:spPr>
    <a:pattFill prst="pct50">
      <a:fgClr>
        <a:schemeClr val="bg1">
          <a:lumMod val="65000"/>
        </a:schemeClr>
      </a:fgClr>
      <a:bgClr>
        <a:schemeClr val="accent3">
          <a:lumMod val="60000"/>
          <a:lumOff val="40000"/>
        </a:schemeClr>
      </a:bgClr>
    </a:patt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latin typeface="Arial" pitchFamily="34" charset="0"/>
                <a:cs typeface="Arial" pitchFamily="34" charset="0"/>
              </a:rPr>
              <a:t>Residential Sewer Monthly Bills</a:t>
            </a:r>
            <a:endParaRPr lang="en-US" sz="1200" baseline="0">
              <a:latin typeface="Arial" pitchFamily="34" charset="0"/>
              <a:cs typeface="Arial" pitchFamily="34" charset="0"/>
            </a:endParaRPr>
          </a:p>
        </c:rich>
      </c:tx>
      <c:layout>
        <c:manualLayout>
          <c:xMode val="edge"/>
          <c:yMode val="edge"/>
          <c:x val="0.17161588693165933"/>
          <c:y val="3.8012950343712895E-2"/>
        </c:manualLayout>
      </c:layout>
      <c:overlay val="1"/>
    </c:title>
    <c:autoTitleDeleted val="0"/>
    <c:plotArea>
      <c:layout>
        <c:manualLayout>
          <c:layoutTarget val="inner"/>
          <c:xMode val="edge"/>
          <c:yMode val="edge"/>
          <c:x val="9.071234048148806E-2"/>
          <c:y val="0.16140622205210903"/>
          <c:w val="0.87875008707132818"/>
          <c:h val="0.61607119695896384"/>
        </c:manualLayout>
      </c:layout>
      <c:lineChart>
        <c:grouping val="standard"/>
        <c:varyColors val="0"/>
        <c:ser>
          <c:idx val="1"/>
          <c:order val="0"/>
          <c:tx>
            <c:v>New Rates</c:v>
          </c:tx>
          <c:spPr>
            <a:ln w="38100">
              <a:solidFill>
                <a:schemeClr val="accent6">
                  <a:lumMod val="75000"/>
                </a:schemeClr>
              </a:solidFill>
            </a:ln>
          </c:spPr>
          <c:marker>
            <c:symbol val="none"/>
          </c:marker>
          <c:cat>
            <c:numRef>
              <c:f>'Compare Monthly Bills'!$X$8:$X$28</c:f>
              <c:numCache>
                <c:formatCode>#,##0</c:formatCode>
                <c:ptCount val="2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numCache>
            </c:numRef>
          </c:cat>
          <c:val>
            <c:numRef>
              <c:f>'Compare Monthly Bills'!$AB$8:$AB$28</c:f>
              <c:numCache>
                <c:formatCode>"$"#,##0.00</c:formatCode>
                <c:ptCount val="21"/>
                <c:pt idx="0">
                  <c:v>22</c:v>
                </c:pt>
                <c:pt idx="1">
                  <c:v>23.75</c:v>
                </c:pt>
                <c:pt idx="2">
                  <c:v>25.5</c:v>
                </c:pt>
                <c:pt idx="3">
                  <c:v>27.25</c:v>
                </c:pt>
                <c:pt idx="4">
                  <c:v>29.5</c:v>
                </c:pt>
                <c:pt idx="5">
                  <c:v>31.75</c:v>
                </c:pt>
                <c:pt idx="6">
                  <c:v>34</c:v>
                </c:pt>
                <c:pt idx="7">
                  <c:v>36.25</c:v>
                </c:pt>
                <c:pt idx="8">
                  <c:v>38.5</c:v>
                </c:pt>
                <c:pt idx="9">
                  <c:v>42.75</c:v>
                </c:pt>
                <c:pt idx="10">
                  <c:v>47</c:v>
                </c:pt>
                <c:pt idx="11">
                  <c:v>51.25</c:v>
                </c:pt>
                <c:pt idx="12">
                  <c:v>55.5</c:v>
                </c:pt>
                <c:pt idx="13">
                  <c:v>59.75</c:v>
                </c:pt>
                <c:pt idx="14">
                  <c:v>64</c:v>
                </c:pt>
                <c:pt idx="15">
                  <c:v>68.25</c:v>
                </c:pt>
                <c:pt idx="16">
                  <c:v>72.5</c:v>
                </c:pt>
                <c:pt idx="17">
                  <c:v>76.75</c:v>
                </c:pt>
                <c:pt idx="18">
                  <c:v>81</c:v>
                </c:pt>
                <c:pt idx="19">
                  <c:v>85.25</c:v>
                </c:pt>
                <c:pt idx="20">
                  <c:v>89.5</c:v>
                </c:pt>
              </c:numCache>
            </c:numRef>
          </c:val>
          <c:smooth val="0"/>
          <c:extLst>
            <c:ext xmlns:c16="http://schemas.microsoft.com/office/drawing/2014/chart" uri="{C3380CC4-5D6E-409C-BE32-E72D297353CC}">
              <c16:uniqueId val="{00000000-3FDC-43D3-917A-651742DFCCE8}"/>
            </c:ext>
          </c:extLst>
        </c:ser>
        <c:ser>
          <c:idx val="0"/>
          <c:order val="1"/>
          <c:tx>
            <c:v>Existing Rates</c:v>
          </c:tx>
          <c:spPr>
            <a:ln w="38100">
              <a:solidFill>
                <a:schemeClr val="accent6">
                  <a:lumMod val="75000"/>
                </a:schemeClr>
              </a:solidFill>
              <a:prstDash val="sysDash"/>
            </a:ln>
          </c:spPr>
          <c:marker>
            <c:symbol val="none"/>
          </c:marker>
          <c:cat>
            <c:numRef>
              <c:f>'Compare Monthly Bills'!$X$8:$X$28</c:f>
              <c:numCache>
                <c:formatCode>#,##0</c:formatCode>
                <c:ptCount val="2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numCache>
            </c:numRef>
          </c:cat>
          <c:val>
            <c:numRef>
              <c:f>'Compare Monthly Bills'!$Z$8:$Z$28</c:f>
              <c:numCache>
                <c:formatCode>"$"#,##0.00</c:formatCode>
                <c:ptCount val="21"/>
                <c:pt idx="0">
                  <c:v>18</c:v>
                </c:pt>
                <c:pt idx="1">
                  <c:v>20</c:v>
                </c:pt>
                <c:pt idx="2">
                  <c:v>22</c:v>
                </c:pt>
                <c:pt idx="3">
                  <c:v>24</c:v>
                </c:pt>
                <c:pt idx="4">
                  <c:v>26</c:v>
                </c:pt>
                <c:pt idx="5">
                  <c:v>28</c:v>
                </c:pt>
                <c:pt idx="6">
                  <c:v>30</c:v>
                </c:pt>
                <c:pt idx="7">
                  <c:v>32</c:v>
                </c:pt>
                <c:pt idx="8">
                  <c:v>34</c:v>
                </c:pt>
                <c:pt idx="9">
                  <c:v>36</c:v>
                </c:pt>
                <c:pt idx="10">
                  <c:v>38</c:v>
                </c:pt>
                <c:pt idx="11">
                  <c:v>40</c:v>
                </c:pt>
                <c:pt idx="12">
                  <c:v>42</c:v>
                </c:pt>
                <c:pt idx="13">
                  <c:v>44</c:v>
                </c:pt>
                <c:pt idx="14">
                  <c:v>46</c:v>
                </c:pt>
                <c:pt idx="15">
                  <c:v>48</c:v>
                </c:pt>
                <c:pt idx="16">
                  <c:v>50</c:v>
                </c:pt>
                <c:pt idx="17">
                  <c:v>52</c:v>
                </c:pt>
                <c:pt idx="18">
                  <c:v>54</c:v>
                </c:pt>
                <c:pt idx="19">
                  <c:v>56</c:v>
                </c:pt>
                <c:pt idx="20">
                  <c:v>58</c:v>
                </c:pt>
              </c:numCache>
            </c:numRef>
          </c:val>
          <c:smooth val="0"/>
          <c:extLst>
            <c:ext xmlns:c16="http://schemas.microsoft.com/office/drawing/2014/chart" uri="{C3380CC4-5D6E-409C-BE32-E72D297353CC}">
              <c16:uniqueId val="{00000001-3FDC-43D3-917A-651742DFCCE8}"/>
            </c:ext>
          </c:extLst>
        </c:ser>
        <c:dLbls>
          <c:showLegendKey val="0"/>
          <c:showVal val="0"/>
          <c:showCatName val="0"/>
          <c:showSerName val="0"/>
          <c:showPercent val="0"/>
          <c:showBubbleSize val="0"/>
        </c:dLbls>
        <c:smooth val="0"/>
        <c:axId val="68100480"/>
        <c:axId val="68102400"/>
      </c:lineChart>
      <c:catAx>
        <c:axId val="68100480"/>
        <c:scaling>
          <c:orientation val="minMax"/>
        </c:scaling>
        <c:delete val="0"/>
        <c:axPos val="b"/>
        <c:majorGridlines>
          <c:spPr>
            <a:ln>
              <a:solidFill>
                <a:sysClr val="windowText" lastClr="000000">
                  <a:alpha val="10000"/>
                </a:sysClr>
              </a:solidFill>
            </a:ln>
          </c:spPr>
        </c:majorGridlines>
        <c:title>
          <c:tx>
            <c:rich>
              <a:bodyPr/>
              <a:lstStyle/>
              <a:p>
                <a:pPr>
                  <a:defRPr/>
                </a:pPr>
                <a:r>
                  <a:rPr lang="en-US"/>
                  <a:t>Gallons/Month</a:t>
                </a:r>
              </a:p>
            </c:rich>
          </c:tx>
          <c:overlay val="0"/>
        </c:title>
        <c:numFmt formatCode="#,##0" sourceLinked="1"/>
        <c:majorTickMark val="out"/>
        <c:minorTickMark val="none"/>
        <c:tickLblPos val="low"/>
        <c:txPr>
          <a:bodyPr rot="-2700000"/>
          <a:lstStyle/>
          <a:p>
            <a:pPr>
              <a:defRPr sz="900">
                <a:latin typeface="Arial" pitchFamily="34" charset="0"/>
                <a:cs typeface="Arial" pitchFamily="34" charset="0"/>
              </a:defRPr>
            </a:pPr>
            <a:endParaRPr lang="en-US"/>
          </a:p>
        </c:txPr>
        <c:crossAx val="68102400"/>
        <c:crosses val="autoZero"/>
        <c:auto val="1"/>
        <c:lblAlgn val="ctr"/>
        <c:lblOffset val="100"/>
        <c:noMultiLvlLbl val="0"/>
      </c:catAx>
      <c:valAx>
        <c:axId val="68102400"/>
        <c:scaling>
          <c:orientation val="minMax"/>
          <c:min val="0"/>
        </c:scaling>
        <c:delete val="0"/>
        <c:axPos val="l"/>
        <c:majorGridlines>
          <c:spPr>
            <a:ln>
              <a:solidFill>
                <a:sysClr val="windowText" lastClr="000000">
                  <a:alpha val="9000"/>
                </a:sysClr>
              </a:solidFill>
            </a:ln>
          </c:spPr>
        </c:majorGridlines>
        <c:numFmt formatCode="_(&quot;$&quot;* #,##0_);_(&quot;$&quot;* \(#,##0\);_(&quot;$&quot;* &quot;-&quot;_);_(@_)" sourceLinked="0"/>
        <c:majorTickMark val="out"/>
        <c:minorTickMark val="none"/>
        <c:tickLblPos val="nextTo"/>
        <c:txPr>
          <a:bodyPr/>
          <a:lstStyle/>
          <a:p>
            <a:pPr>
              <a:defRPr sz="900">
                <a:latin typeface="Arial" pitchFamily="34" charset="0"/>
                <a:cs typeface="Arial" pitchFamily="34" charset="0"/>
              </a:defRPr>
            </a:pPr>
            <a:endParaRPr lang="en-US"/>
          </a:p>
        </c:txPr>
        <c:crossAx val="68100480"/>
        <c:crosses val="autoZero"/>
        <c:crossBetween val="midCat"/>
      </c:valAx>
      <c:spPr>
        <a:solidFill>
          <a:schemeClr val="bg1">
            <a:lumMod val="95000"/>
          </a:schemeClr>
        </a:solidFill>
        <a:ln>
          <a:solidFill>
            <a:sysClr val="windowText" lastClr="000000"/>
          </a:solidFill>
        </a:ln>
        <a:effectLst>
          <a:outerShdw blurRad="50800" dist="152400" dir="8760000" sx="95000" sy="95000" algn="ctr" rotWithShape="0">
            <a:srgbClr val="000000">
              <a:alpha val="99000"/>
            </a:srgbClr>
          </a:outerShdw>
        </a:effectLst>
      </c:spPr>
    </c:plotArea>
    <c:legend>
      <c:legendPos val="r"/>
      <c:layout>
        <c:manualLayout>
          <c:xMode val="edge"/>
          <c:yMode val="edge"/>
          <c:x val="0.74083964929692925"/>
          <c:y val="3.3357943642392252E-2"/>
          <c:w val="0.24355716622455298"/>
          <c:h val="9.5014290723320613E-2"/>
        </c:manualLayout>
      </c:layout>
      <c:overlay val="0"/>
      <c:spPr>
        <a:solidFill>
          <a:schemeClr val="bg1">
            <a:lumMod val="85000"/>
          </a:schemeClr>
        </a:solidFill>
        <a:ln>
          <a:solidFill>
            <a:sysClr val="windowText" lastClr="000000"/>
          </a:solidFill>
        </a:ln>
        <a:effectLst>
          <a:outerShdw blurRad="50800" dist="50800" dir="8880000" sx="95000" sy="95000" algn="ctr" rotWithShape="0">
            <a:srgbClr val="000000">
              <a:alpha val="99000"/>
            </a:srgbClr>
          </a:outerShdw>
        </a:effectLst>
      </c:spPr>
      <c:txPr>
        <a:bodyPr/>
        <a:lstStyle/>
        <a:p>
          <a:pPr>
            <a:defRPr sz="800">
              <a:latin typeface="Arial" pitchFamily="34" charset="0"/>
              <a:cs typeface="Arial" pitchFamily="34" charset="0"/>
            </a:defRPr>
          </a:pPr>
          <a:endParaRPr lang="en-US"/>
        </a:p>
      </c:txPr>
    </c:legend>
    <c:plotVisOnly val="1"/>
    <c:dispBlanksAs val="gap"/>
    <c:showDLblsOverMax val="0"/>
  </c:chart>
  <c:spPr>
    <a:pattFill prst="pct50">
      <a:fgClr>
        <a:schemeClr val="bg1">
          <a:lumMod val="65000"/>
        </a:schemeClr>
      </a:fgClr>
      <a:bgClr>
        <a:schemeClr val="accent6">
          <a:lumMod val="60000"/>
          <a:lumOff val="40000"/>
        </a:schemeClr>
      </a:bgClr>
    </a:patt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latin typeface="Arial" pitchFamily="34" charset="0"/>
                <a:cs typeface="Arial" pitchFamily="34" charset="0"/>
              </a:rPr>
              <a:t>Commercial Water Monthly Bills</a:t>
            </a:r>
            <a:endParaRPr lang="en-US" sz="1200" baseline="0">
              <a:latin typeface="Arial" pitchFamily="34" charset="0"/>
              <a:cs typeface="Arial" pitchFamily="34" charset="0"/>
            </a:endParaRPr>
          </a:p>
        </c:rich>
      </c:tx>
      <c:layout>
        <c:manualLayout>
          <c:xMode val="edge"/>
          <c:yMode val="edge"/>
          <c:x val="0.18878807493000685"/>
          <c:y val="3.3789289194411466E-2"/>
        </c:manualLayout>
      </c:layout>
      <c:overlay val="1"/>
    </c:title>
    <c:autoTitleDeleted val="0"/>
    <c:plotArea>
      <c:layout>
        <c:manualLayout>
          <c:layoutTarget val="inner"/>
          <c:xMode val="edge"/>
          <c:yMode val="edge"/>
          <c:x val="9.071234048148806E-2"/>
          <c:y val="0.16140622205210903"/>
          <c:w val="0.87875008707132818"/>
          <c:h val="0.61607119695896384"/>
        </c:manualLayout>
      </c:layout>
      <c:lineChart>
        <c:grouping val="standard"/>
        <c:varyColors val="0"/>
        <c:ser>
          <c:idx val="1"/>
          <c:order val="0"/>
          <c:tx>
            <c:v>New Rates</c:v>
          </c:tx>
          <c:spPr>
            <a:ln w="38100">
              <a:solidFill>
                <a:schemeClr val="accent1">
                  <a:lumMod val="75000"/>
                </a:schemeClr>
              </a:solidFill>
            </a:ln>
          </c:spPr>
          <c:marker>
            <c:symbol val="none"/>
          </c:marker>
          <c:cat>
            <c:numRef>
              <c:f>('Compare Monthly Bills'!$Q$34,'Compare Monthly Bills'!$Q$44,'Compare Monthly Bills'!$Q$54,'Compare Monthly Bills'!$Q$64,'Compare Monthly Bills'!$Q$74,'Compare Monthly Bills'!$Q$84,'Compare Monthly Bills'!$Q$94,'Compare Monthly Bills'!$Q$104,'Compare Monthly Bills'!$Q$114,'Compare Monthly Bills'!$Q$124,'Compare Monthly Bills'!$Q$134)</c:f>
              <c:numCache>
                <c:formatCode>#,##0</c:formatCode>
                <c:ptCount val="11"/>
                <c:pt idx="0">
                  <c:v>0</c:v>
                </c:pt>
                <c:pt idx="1">
                  <c:v>10000</c:v>
                </c:pt>
                <c:pt idx="2">
                  <c:v>20000</c:v>
                </c:pt>
                <c:pt idx="3">
                  <c:v>30000</c:v>
                </c:pt>
                <c:pt idx="4">
                  <c:v>40000</c:v>
                </c:pt>
                <c:pt idx="5">
                  <c:v>50000</c:v>
                </c:pt>
                <c:pt idx="6">
                  <c:v>60000</c:v>
                </c:pt>
                <c:pt idx="7">
                  <c:v>70000</c:v>
                </c:pt>
                <c:pt idx="8">
                  <c:v>80000</c:v>
                </c:pt>
                <c:pt idx="9">
                  <c:v>90000</c:v>
                </c:pt>
                <c:pt idx="10">
                  <c:v>100000</c:v>
                </c:pt>
              </c:numCache>
            </c:numRef>
          </c:cat>
          <c:val>
            <c:numRef>
              <c:f>('Compare Monthly Bills'!$U$34,'Compare Monthly Bills'!$U$44,'Compare Monthly Bills'!$U$54,'Compare Monthly Bills'!$U$64,'Compare Monthly Bills'!$U$74,'Compare Monthly Bills'!$U$84,'Compare Monthly Bills'!$U$94,'Compare Monthly Bills'!$U$104,'Compare Monthly Bills'!$U$114,'Compare Monthly Bills'!$U$124,'Compare Monthly Bills'!$U$134)</c:f>
              <c:numCache>
                <c:formatCode>"$"#,##0.00</c:formatCode>
                <c:ptCount val="11"/>
                <c:pt idx="0">
                  <c:v>30</c:v>
                </c:pt>
                <c:pt idx="1">
                  <c:v>42.5</c:v>
                </c:pt>
                <c:pt idx="2">
                  <c:v>66.25</c:v>
                </c:pt>
                <c:pt idx="3">
                  <c:v>96.25</c:v>
                </c:pt>
                <c:pt idx="4">
                  <c:v>126.25</c:v>
                </c:pt>
                <c:pt idx="5">
                  <c:v>156.25</c:v>
                </c:pt>
                <c:pt idx="6">
                  <c:v>208.75</c:v>
                </c:pt>
                <c:pt idx="7">
                  <c:v>261.25</c:v>
                </c:pt>
                <c:pt idx="8">
                  <c:v>313.75</c:v>
                </c:pt>
                <c:pt idx="9">
                  <c:v>366.25</c:v>
                </c:pt>
                <c:pt idx="10">
                  <c:v>418.75</c:v>
                </c:pt>
              </c:numCache>
            </c:numRef>
          </c:val>
          <c:smooth val="0"/>
          <c:extLst>
            <c:ext xmlns:c16="http://schemas.microsoft.com/office/drawing/2014/chart" uri="{C3380CC4-5D6E-409C-BE32-E72D297353CC}">
              <c16:uniqueId val="{00000000-C97D-482B-9070-6063D60ACF07}"/>
            </c:ext>
          </c:extLst>
        </c:ser>
        <c:ser>
          <c:idx val="0"/>
          <c:order val="1"/>
          <c:tx>
            <c:v>Existing Rates</c:v>
          </c:tx>
          <c:spPr>
            <a:ln w="38100">
              <a:solidFill>
                <a:schemeClr val="tx2"/>
              </a:solidFill>
              <a:prstDash val="sysDash"/>
            </a:ln>
          </c:spPr>
          <c:marker>
            <c:symbol val="none"/>
          </c:marker>
          <c:cat>
            <c:numRef>
              <c:f>('Compare Monthly Bills'!$Q$34,'Compare Monthly Bills'!$Q$44,'Compare Monthly Bills'!$Q$54,'Compare Monthly Bills'!$Q$64,'Compare Monthly Bills'!$Q$74,'Compare Monthly Bills'!$Q$84,'Compare Monthly Bills'!$Q$94,'Compare Monthly Bills'!$Q$104,'Compare Monthly Bills'!$Q$114,'Compare Monthly Bills'!$Q$124,'Compare Monthly Bills'!$Q$134)</c:f>
              <c:numCache>
                <c:formatCode>#,##0</c:formatCode>
                <c:ptCount val="11"/>
                <c:pt idx="0">
                  <c:v>0</c:v>
                </c:pt>
                <c:pt idx="1">
                  <c:v>10000</c:v>
                </c:pt>
                <c:pt idx="2">
                  <c:v>20000</c:v>
                </c:pt>
                <c:pt idx="3">
                  <c:v>30000</c:v>
                </c:pt>
                <c:pt idx="4">
                  <c:v>40000</c:v>
                </c:pt>
                <c:pt idx="5">
                  <c:v>50000</c:v>
                </c:pt>
                <c:pt idx="6">
                  <c:v>60000</c:v>
                </c:pt>
                <c:pt idx="7">
                  <c:v>70000</c:v>
                </c:pt>
                <c:pt idx="8">
                  <c:v>80000</c:v>
                </c:pt>
                <c:pt idx="9">
                  <c:v>90000</c:v>
                </c:pt>
                <c:pt idx="10">
                  <c:v>100000</c:v>
                </c:pt>
              </c:numCache>
            </c:numRef>
          </c:cat>
          <c:val>
            <c:numRef>
              <c:f>('Compare Monthly Bills'!$S$34,'Compare Monthly Bills'!$S$44,'Compare Monthly Bills'!$S$54,'Compare Monthly Bills'!$S$64,'Compare Monthly Bills'!$S$74,'Compare Monthly Bills'!$S$84,'Compare Monthly Bills'!$S$94,'Compare Monthly Bills'!$S$104,'Compare Monthly Bills'!$S$114,'Compare Monthly Bills'!$S$124,'Compare Monthly Bills'!$S$134)</c:f>
              <c:numCache>
                <c:formatCode>"$"#,##0.00</c:formatCode>
                <c:ptCount val="11"/>
                <c:pt idx="0">
                  <c:v>25</c:v>
                </c:pt>
                <c:pt idx="1">
                  <c:v>45</c:v>
                </c:pt>
                <c:pt idx="2">
                  <c:v>65</c:v>
                </c:pt>
                <c:pt idx="3">
                  <c:v>85</c:v>
                </c:pt>
                <c:pt idx="4">
                  <c:v>105</c:v>
                </c:pt>
                <c:pt idx="5">
                  <c:v>125</c:v>
                </c:pt>
                <c:pt idx="6">
                  <c:v>145</c:v>
                </c:pt>
                <c:pt idx="7">
                  <c:v>165</c:v>
                </c:pt>
                <c:pt idx="8">
                  <c:v>185</c:v>
                </c:pt>
                <c:pt idx="9">
                  <c:v>205</c:v>
                </c:pt>
                <c:pt idx="10">
                  <c:v>225</c:v>
                </c:pt>
              </c:numCache>
            </c:numRef>
          </c:val>
          <c:smooth val="0"/>
          <c:extLst>
            <c:ext xmlns:c16="http://schemas.microsoft.com/office/drawing/2014/chart" uri="{C3380CC4-5D6E-409C-BE32-E72D297353CC}">
              <c16:uniqueId val="{00000001-C97D-482B-9070-6063D60ACF07}"/>
            </c:ext>
          </c:extLst>
        </c:ser>
        <c:dLbls>
          <c:showLegendKey val="0"/>
          <c:showVal val="0"/>
          <c:showCatName val="0"/>
          <c:showSerName val="0"/>
          <c:showPercent val="0"/>
          <c:showBubbleSize val="0"/>
        </c:dLbls>
        <c:smooth val="0"/>
        <c:axId val="68124032"/>
        <c:axId val="68126208"/>
      </c:lineChart>
      <c:catAx>
        <c:axId val="68124032"/>
        <c:scaling>
          <c:orientation val="minMax"/>
        </c:scaling>
        <c:delete val="0"/>
        <c:axPos val="b"/>
        <c:majorGridlines>
          <c:spPr>
            <a:ln>
              <a:solidFill>
                <a:sysClr val="windowText" lastClr="000000">
                  <a:alpha val="10000"/>
                </a:sysClr>
              </a:solidFill>
            </a:ln>
          </c:spPr>
        </c:majorGridlines>
        <c:title>
          <c:tx>
            <c:rich>
              <a:bodyPr/>
              <a:lstStyle/>
              <a:p>
                <a:pPr>
                  <a:defRPr/>
                </a:pPr>
                <a:r>
                  <a:rPr lang="en-US"/>
                  <a:t>Gallons/Month</a:t>
                </a:r>
              </a:p>
            </c:rich>
          </c:tx>
          <c:overlay val="0"/>
        </c:title>
        <c:numFmt formatCode="#,##0" sourceLinked="1"/>
        <c:majorTickMark val="out"/>
        <c:minorTickMark val="none"/>
        <c:tickLblPos val="low"/>
        <c:txPr>
          <a:bodyPr rot="-2700000"/>
          <a:lstStyle/>
          <a:p>
            <a:pPr>
              <a:defRPr sz="900">
                <a:latin typeface="Arial" pitchFamily="34" charset="0"/>
                <a:cs typeface="Arial" pitchFamily="34" charset="0"/>
              </a:defRPr>
            </a:pPr>
            <a:endParaRPr lang="en-US"/>
          </a:p>
        </c:txPr>
        <c:crossAx val="68126208"/>
        <c:crosses val="autoZero"/>
        <c:auto val="1"/>
        <c:lblAlgn val="ctr"/>
        <c:lblOffset val="100"/>
        <c:noMultiLvlLbl val="0"/>
      </c:catAx>
      <c:valAx>
        <c:axId val="68126208"/>
        <c:scaling>
          <c:orientation val="minMax"/>
          <c:min val="0"/>
        </c:scaling>
        <c:delete val="0"/>
        <c:axPos val="l"/>
        <c:majorGridlines>
          <c:spPr>
            <a:ln>
              <a:solidFill>
                <a:sysClr val="windowText" lastClr="000000">
                  <a:alpha val="9000"/>
                </a:sysClr>
              </a:solidFill>
            </a:ln>
          </c:spPr>
        </c:majorGridlines>
        <c:numFmt formatCode="_(&quot;$&quot;* #,##0_);_(&quot;$&quot;* \(#,##0\);_(&quot;$&quot;* &quot;-&quot;_);_(@_)" sourceLinked="0"/>
        <c:majorTickMark val="out"/>
        <c:minorTickMark val="none"/>
        <c:tickLblPos val="nextTo"/>
        <c:txPr>
          <a:bodyPr/>
          <a:lstStyle/>
          <a:p>
            <a:pPr>
              <a:defRPr sz="900">
                <a:latin typeface="Arial" pitchFamily="34" charset="0"/>
                <a:cs typeface="Arial" pitchFamily="34" charset="0"/>
              </a:defRPr>
            </a:pPr>
            <a:endParaRPr lang="en-US"/>
          </a:p>
        </c:txPr>
        <c:crossAx val="68124032"/>
        <c:crosses val="autoZero"/>
        <c:crossBetween val="midCat"/>
      </c:valAx>
      <c:spPr>
        <a:solidFill>
          <a:schemeClr val="bg1">
            <a:lumMod val="95000"/>
          </a:schemeClr>
        </a:solidFill>
        <a:ln>
          <a:solidFill>
            <a:sysClr val="windowText" lastClr="000000"/>
          </a:solidFill>
        </a:ln>
        <a:effectLst>
          <a:outerShdw blurRad="50800" dist="152400" dir="8760000" sx="95000" sy="95000" algn="ctr" rotWithShape="0">
            <a:srgbClr val="000000">
              <a:alpha val="99000"/>
            </a:srgbClr>
          </a:outerShdw>
        </a:effectLst>
      </c:spPr>
    </c:plotArea>
    <c:legend>
      <c:legendPos val="r"/>
      <c:layout>
        <c:manualLayout>
          <c:xMode val="edge"/>
          <c:yMode val="edge"/>
          <c:x val="0.74083964929692925"/>
          <c:y val="3.3357943642392252E-2"/>
          <c:w val="0.24355716622455298"/>
          <c:h val="9.5014290723320613E-2"/>
        </c:manualLayout>
      </c:layout>
      <c:overlay val="0"/>
      <c:spPr>
        <a:solidFill>
          <a:schemeClr val="bg1">
            <a:lumMod val="85000"/>
          </a:schemeClr>
        </a:solidFill>
        <a:ln>
          <a:solidFill>
            <a:sysClr val="windowText" lastClr="000000"/>
          </a:solidFill>
        </a:ln>
        <a:effectLst>
          <a:outerShdw blurRad="50800" dist="50800" dir="8880000" sx="95000" sy="95000" algn="ctr" rotWithShape="0">
            <a:srgbClr val="000000">
              <a:alpha val="99000"/>
            </a:srgbClr>
          </a:outerShdw>
        </a:effectLst>
      </c:spPr>
      <c:txPr>
        <a:bodyPr/>
        <a:lstStyle/>
        <a:p>
          <a:pPr>
            <a:defRPr sz="800">
              <a:latin typeface="Arial" pitchFamily="34" charset="0"/>
              <a:cs typeface="Arial" pitchFamily="34" charset="0"/>
            </a:defRPr>
          </a:pPr>
          <a:endParaRPr lang="en-US"/>
        </a:p>
      </c:txPr>
    </c:legend>
    <c:plotVisOnly val="1"/>
    <c:dispBlanksAs val="gap"/>
    <c:showDLblsOverMax val="0"/>
  </c:chart>
  <c:spPr>
    <a:pattFill prst="pct50">
      <a:fgClr>
        <a:schemeClr val="bg1">
          <a:lumMod val="65000"/>
        </a:schemeClr>
      </a:fgClr>
      <a:bgClr>
        <a:schemeClr val="accent3">
          <a:lumMod val="60000"/>
          <a:lumOff val="40000"/>
        </a:schemeClr>
      </a:bgClr>
    </a:patt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latin typeface="Arial" pitchFamily="34" charset="0"/>
                <a:cs typeface="Arial" pitchFamily="34" charset="0"/>
              </a:rPr>
              <a:t>Commercial Sewer Monthly Bills</a:t>
            </a:r>
            <a:endParaRPr lang="en-US" sz="1200" baseline="0">
              <a:latin typeface="Arial" pitchFamily="34" charset="0"/>
              <a:cs typeface="Arial" pitchFamily="34" charset="0"/>
            </a:endParaRPr>
          </a:p>
        </c:rich>
      </c:tx>
      <c:layout>
        <c:manualLayout>
          <c:xMode val="edge"/>
          <c:yMode val="edge"/>
          <c:x val="0.17161588693165933"/>
          <c:y val="3.8012950343712895E-2"/>
        </c:manualLayout>
      </c:layout>
      <c:overlay val="1"/>
    </c:title>
    <c:autoTitleDeleted val="0"/>
    <c:plotArea>
      <c:layout>
        <c:manualLayout>
          <c:layoutTarget val="inner"/>
          <c:xMode val="edge"/>
          <c:yMode val="edge"/>
          <c:x val="9.071234048148806E-2"/>
          <c:y val="0.16140622205210903"/>
          <c:w val="0.87875008707132818"/>
          <c:h val="0.61607119695896384"/>
        </c:manualLayout>
      </c:layout>
      <c:lineChart>
        <c:grouping val="standard"/>
        <c:varyColors val="0"/>
        <c:ser>
          <c:idx val="1"/>
          <c:order val="0"/>
          <c:tx>
            <c:v>New Rates</c:v>
          </c:tx>
          <c:spPr>
            <a:ln w="38100">
              <a:solidFill>
                <a:schemeClr val="accent6">
                  <a:lumMod val="75000"/>
                </a:schemeClr>
              </a:solidFill>
            </a:ln>
          </c:spPr>
          <c:marker>
            <c:symbol val="none"/>
          </c:marker>
          <c:cat>
            <c:numRef>
              <c:f>('Compare Monthly Bills'!$X$34,'Compare Monthly Bills'!$X$44,'Compare Monthly Bills'!$X$54,'Compare Monthly Bills'!$X$64,'Compare Monthly Bills'!$X$74,'Compare Monthly Bills'!$X$84,'Compare Monthly Bills'!$X$94,'Compare Monthly Bills'!$X$104,'Compare Monthly Bills'!$X$114,'Compare Monthly Bills'!$X$124,'Compare Monthly Bills'!$X$134)</c:f>
              <c:numCache>
                <c:formatCode>#,##0</c:formatCode>
                <c:ptCount val="11"/>
                <c:pt idx="0">
                  <c:v>0</c:v>
                </c:pt>
                <c:pt idx="1">
                  <c:v>10000</c:v>
                </c:pt>
                <c:pt idx="2">
                  <c:v>20000</c:v>
                </c:pt>
                <c:pt idx="3">
                  <c:v>30000</c:v>
                </c:pt>
                <c:pt idx="4">
                  <c:v>40000</c:v>
                </c:pt>
                <c:pt idx="5">
                  <c:v>50000</c:v>
                </c:pt>
                <c:pt idx="6">
                  <c:v>60000</c:v>
                </c:pt>
                <c:pt idx="7">
                  <c:v>70000</c:v>
                </c:pt>
                <c:pt idx="8">
                  <c:v>80000</c:v>
                </c:pt>
                <c:pt idx="9">
                  <c:v>90000</c:v>
                </c:pt>
                <c:pt idx="10">
                  <c:v>100000</c:v>
                </c:pt>
              </c:numCache>
            </c:numRef>
          </c:cat>
          <c:val>
            <c:numRef>
              <c:f>('Compare Monthly Bills'!$AB$34,'Compare Monthly Bills'!$AB$44,'Compare Monthly Bills'!$AB$54,'Compare Monthly Bills'!$AB$64,'Compare Monthly Bills'!$AB$74,'Compare Monthly Bills'!$AB$84,'Compare Monthly Bills'!$AB$94,'Compare Monthly Bills'!$AB$104,'Compare Monthly Bills'!$AB$114,'Compare Monthly Bills'!$AB$124,'Compare Monthly Bills'!$AB$134)</c:f>
              <c:numCache>
                <c:formatCode>"$"#,##0.00</c:formatCode>
                <c:ptCount val="11"/>
                <c:pt idx="0">
                  <c:v>29</c:v>
                </c:pt>
                <c:pt idx="1">
                  <c:v>44</c:v>
                </c:pt>
                <c:pt idx="2">
                  <c:v>70.25</c:v>
                </c:pt>
                <c:pt idx="3">
                  <c:v>102.75</c:v>
                </c:pt>
                <c:pt idx="4">
                  <c:v>135.25</c:v>
                </c:pt>
                <c:pt idx="5">
                  <c:v>167.75</c:v>
                </c:pt>
                <c:pt idx="6">
                  <c:v>227.75</c:v>
                </c:pt>
                <c:pt idx="7">
                  <c:v>287.75</c:v>
                </c:pt>
                <c:pt idx="8">
                  <c:v>347.75</c:v>
                </c:pt>
                <c:pt idx="9">
                  <c:v>407.75</c:v>
                </c:pt>
                <c:pt idx="10">
                  <c:v>467.75</c:v>
                </c:pt>
              </c:numCache>
            </c:numRef>
          </c:val>
          <c:smooth val="0"/>
          <c:extLst>
            <c:ext xmlns:c16="http://schemas.microsoft.com/office/drawing/2014/chart" uri="{C3380CC4-5D6E-409C-BE32-E72D297353CC}">
              <c16:uniqueId val="{00000000-FA14-435A-B6E3-FA1A18D6D60E}"/>
            </c:ext>
          </c:extLst>
        </c:ser>
        <c:ser>
          <c:idx val="0"/>
          <c:order val="1"/>
          <c:tx>
            <c:v>Existing Rates</c:v>
          </c:tx>
          <c:spPr>
            <a:ln w="38100">
              <a:solidFill>
                <a:schemeClr val="accent6">
                  <a:lumMod val="75000"/>
                </a:schemeClr>
              </a:solidFill>
              <a:prstDash val="sysDash"/>
            </a:ln>
          </c:spPr>
          <c:marker>
            <c:symbol val="none"/>
          </c:marker>
          <c:cat>
            <c:numRef>
              <c:f>('Compare Monthly Bills'!$X$34,'Compare Monthly Bills'!$X$44,'Compare Monthly Bills'!$X$54,'Compare Monthly Bills'!$X$64,'Compare Monthly Bills'!$X$74,'Compare Monthly Bills'!$X$84,'Compare Monthly Bills'!$X$94,'Compare Monthly Bills'!$X$104,'Compare Monthly Bills'!$X$114,'Compare Monthly Bills'!$X$124,'Compare Monthly Bills'!$X$134)</c:f>
              <c:numCache>
                <c:formatCode>#,##0</c:formatCode>
                <c:ptCount val="11"/>
                <c:pt idx="0">
                  <c:v>0</c:v>
                </c:pt>
                <c:pt idx="1">
                  <c:v>10000</c:v>
                </c:pt>
                <c:pt idx="2">
                  <c:v>20000</c:v>
                </c:pt>
                <c:pt idx="3">
                  <c:v>30000</c:v>
                </c:pt>
                <c:pt idx="4">
                  <c:v>40000</c:v>
                </c:pt>
                <c:pt idx="5">
                  <c:v>50000</c:v>
                </c:pt>
                <c:pt idx="6">
                  <c:v>60000</c:v>
                </c:pt>
                <c:pt idx="7">
                  <c:v>70000</c:v>
                </c:pt>
                <c:pt idx="8">
                  <c:v>80000</c:v>
                </c:pt>
                <c:pt idx="9">
                  <c:v>90000</c:v>
                </c:pt>
                <c:pt idx="10">
                  <c:v>100000</c:v>
                </c:pt>
              </c:numCache>
            </c:numRef>
          </c:cat>
          <c:val>
            <c:numRef>
              <c:f>('Compare Monthly Bills'!$Z$34,'Compare Monthly Bills'!$Z$44,'Compare Monthly Bills'!$Z$54,'Compare Monthly Bills'!$Z$64,'Compare Monthly Bills'!$Z$74,'Compare Monthly Bills'!$Z$84,'Compare Monthly Bills'!$Z$94,'Compare Monthly Bills'!$Z$104,'Compare Monthly Bills'!$Z$114,'Compare Monthly Bills'!$Z$124,'Compare Monthly Bills'!$Z$134)</c:f>
              <c:numCache>
                <c:formatCode>"$"#,##0.00</c:formatCode>
                <c:ptCount val="11"/>
                <c:pt idx="0">
                  <c:v>27</c:v>
                </c:pt>
                <c:pt idx="1">
                  <c:v>47</c:v>
                </c:pt>
                <c:pt idx="2">
                  <c:v>67</c:v>
                </c:pt>
                <c:pt idx="3">
                  <c:v>87</c:v>
                </c:pt>
                <c:pt idx="4">
                  <c:v>107</c:v>
                </c:pt>
                <c:pt idx="5">
                  <c:v>127</c:v>
                </c:pt>
                <c:pt idx="6">
                  <c:v>147</c:v>
                </c:pt>
                <c:pt idx="7">
                  <c:v>167</c:v>
                </c:pt>
                <c:pt idx="8">
                  <c:v>187</c:v>
                </c:pt>
                <c:pt idx="9">
                  <c:v>207</c:v>
                </c:pt>
                <c:pt idx="10">
                  <c:v>227</c:v>
                </c:pt>
              </c:numCache>
            </c:numRef>
          </c:val>
          <c:smooth val="0"/>
          <c:extLst>
            <c:ext xmlns:c16="http://schemas.microsoft.com/office/drawing/2014/chart" uri="{C3380CC4-5D6E-409C-BE32-E72D297353CC}">
              <c16:uniqueId val="{00000001-FA14-435A-B6E3-FA1A18D6D60E}"/>
            </c:ext>
          </c:extLst>
        </c:ser>
        <c:dLbls>
          <c:showLegendKey val="0"/>
          <c:showVal val="0"/>
          <c:showCatName val="0"/>
          <c:showSerName val="0"/>
          <c:showPercent val="0"/>
          <c:showBubbleSize val="0"/>
        </c:dLbls>
        <c:smooth val="0"/>
        <c:axId val="68150016"/>
        <c:axId val="68151936"/>
      </c:lineChart>
      <c:catAx>
        <c:axId val="68150016"/>
        <c:scaling>
          <c:orientation val="minMax"/>
        </c:scaling>
        <c:delete val="0"/>
        <c:axPos val="b"/>
        <c:majorGridlines>
          <c:spPr>
            <a:ln>
              <a:solidFill>
                <a:sysClr val="windowText" lastClr="000000">
                  <a:alpha val="10000"/>
                </a:sysClr>
              </a:solidFill>
            </a:ln>
          </c:spPr>
        </c:majorGridlines>
        <c:title>
          <c:tx>
            <c:rich>
              <a:bodyPr/>
              <a:lstStyle/>
              <a:p>
                <a:pPr>
                  <a:defRPr/>
                </a:pPr>
                <a:r>
                  <a:rPr lang="en-US"/>
                  <a:t>Gallons/Month</a:t>
                </a:r>
              </a:p>
            </c:rich>
          </c:tx>
          <c:overlay val="0"/>
        </c:title>
        <c:numFmt formatCode="#,##0" sourceLinked="1"/>
        <c:majorTickMark val="out"/>
        <c:minorTickMark val="none"/>
        <c:tickLblPos val="low"/>
        <c:txPr>
          <a:bodyPr rot="-2700000"/>
          <a:lstStyle/>
          <a:p>
            <a:pPr>
              <a:defRPr sz="900">
                <a:latin typeface="Arial" pitchFamily="34" charset="0"/>
                <a:cs typeface="Arial" pitchFamily="34" charset="0"/>
              </a:defRPr>
            </a:pPr>
            <a:endParaRPr lang="en-US"/>
          </a:p>
        </c:txPr>
        <c:crossAx val="68151936"/>
        <c:crosses val="autoZero"/>
        <c:auto val="1"/>
        <c:lblAlgn val="ctr"/>
        <c:lblOffset val="100"/>
        <c:noMultiLvlLbl val="0"/>
      </c:catAx>
      <c:valAx>
        <c:axId val="68151936"/>
        <c:scaling>
          <c:orientation val="minMax"/>
          <c:min val="0"/>
        </c:scaling>
        <c:delete val="0"/>
        <c:axPos val="l"/>
        <c:majorGridlines>
          <c:spPr>
            <a:ln>
              <a:solidFill>
                <a:sysClr val="windowText" lastClr="000000">
                  <a:alpha val="9000"/>
                </a:sysClr>
              </a:solidFill>
            </a:ln>
          </c:spPr>
        </c:majorGridlines>
        <c:numFmt formatCode="_(&quot;$&quot;* #,##0_);_(&quot;$&quot;* \(#,##0\);_(&quot;$&quot;* &quot;-&quot;_);_(@_)" sourceLinked="0"/>
        <c:majorTickMark val="out"/>
        <c:minorTickMark val="none"/>
        <c:tickLblPos val="nextTo"/>
        <c:txPr>
          <a:bodyPr/>
          <a:lstStyle/>
          <a:p>
            <a:pPr>
              <a:defRPr sz="900">
                <a:latin typeface="Arial" pitchFamily="34" charset="0"/>
                <a:cs typeface="Arial" pitchFamily="34" charset="0"/>
              </a:defRPr>
            </a:pPr>
            <a:endParaRPr lang="en-US"/>
          </a:p>
        </c:txPr>
        <c:crossAx val="68150016"/>
        <c:crosses val="autoZero"/>
        <c:crossBetween val="midCat"/>
      </c:valAx>
      <c:spPr>
        <a:solidFill>
          <a:schemeClr val="bg1">
            <a:lumMod val="95000"/>
          </a:schemeClr>
        </a:solidFill>
        <a:ln>
          <a:solidFill>
            <a:sysClr val="windowText" lastClr="000000"/>
          </a:solidFill>
        </a:ln>
        <a:effectLst>
          <a:outerShdw blurRad="50800" dist="152400" dir="8760000" sx="95000" sy="95000" algn="ctr" rotWithShape="0">
            <a:srgbClr val="000000">
              <a:alpha val="99000"/>
            </a:srgbClr>
          </a:outerShdw>
        </a:effectLst>
      </c:spPr>
    </c:plotArea>
    <c:legend>
      <c:legendPos val="r"/>
      <c:layout>
        <c:manualLayout>
          <c:xMode val="edge"/>
          <c:yMode val="edge"/>
          <c:x val="0.74083964929692925"/>
          <c:y val="3.3357943642392252E-2"/>
          <c:w val="0.24355716622455298"/>
          <c:h val="9.5014290723320613E-2"/>
        </c:manualLayout>
      </c:layout>
      <c:overlay val="0"/>
      <c:spPr>
        <a:solidFill>
          <a:schemeClr val="bg1">
            <a:lumMod val="85000"/>
          </a:schemeClr>
        </a:solidFill>
        <a:ln>
          <a:solidFill>
            <a:sysClr val="windowText" lastClr="000000"/>
          </a:solidFill>
        </a:ln>
        <a:effectLst>
          <a:outerShdw blurRad="50800" dist="50800" dir="8880000" sx="95000" sy="95000" algn="ctr" rotWithShape="0">
            <a:srgbClr val="000000">
              <a:alpha val="99000"/>
            </a:srgbClr>
          </a:outerShdw>
        </a:effectLst>
      </c:spPr>
      <c:txPr>
        <a:bodyPr/>
        <a:lstStyle/>
        <a:p>
          <a:pPr>
            <a:defRPr sz="800">
              <a:latin typeface="Arial" pitchFamily="34" charset="0"/>
              <a:cs typeface="Arial" pitchFamily="34" charset="0"/>
            </a:defRPr>
          </a:pPr>
          <a:endParaRPr lang="en-US"/>
        </a:p>
      </c:txPr>
    </c:legend>
    <c:plotVisOnly val="1"/>
    <c:dispBlanksAs val="gap"/>
    <c:showDLblsOverMax val="0"/>
  </c:chart>
  <c:spPr>
    <a:pattFill prst="pct50">
      <a:fgClr>
        <a:schemeClr val="bg1">
          <a:lumMod val="65000"/>
        </a:schemeClr>
      </a:fgClr>
      <a:bgClr>
        <a:schemeClr val="accent6">
          <a:lumMod val="60000"/>
          <a:lumOff val="40000"/>
        </a:schemeClr>
      </a:bgClr>
    </a:patt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latin typeface="Arial" pitchFamily="34" charset="0"/>
                <a:cs typeface="Arial" pitchFamily="34" charset="0"/>
              </a:rPr>
              <a:t>Irrigation Water Monthly Bills</a:t>
            </a:r>
            <a:endParaRPr lang="en-US" sz="1200" baseline="0">
              <a:latin typeface="Arial" pitchFamily="34" charset="0"/>
              <a:cs typeface="Arial" pitchFamily="34" charset="0"/>
            </a:endParaRPr>
          </a:p>
        </c:rich>
      </c:tx>
      <c:layout>
        <c:manualLayout>
          <c:xMode val="edge"/>
          <c:yMode val="edge"/>
          <c:x val="0.36490493456359191"/>
          <c:y val="4.2236611493014331E-2"/>
        </c:manualLayout>
      </c:layout>
      <c:overlay val="1"/>
    </c:title>
    <c:autoTitleDeleted val="0"/>
    <c:plotArea>
      <c:layout>
        <c:manualLayout>
          <c:layoutTarget val="inner"/>
          <c:xMode val="edge"/>
          <c:yMode val="edge"/>
          <c:x val="9.071234048148806E-2"/>
          <c:y val="0.16140622205210903"/>
          <c:w val="0.87875008707132818"/>
          <c:h val="0.61607119695896384"/>
        </c:manualLayout>
      </c:layout>
      <c:lineChart>
        <c:grouping val="standard"/>
        <c:varyColors val="0"/>
        <c:ser>
          <c:idx val="1"/>
          <c:order val="0"/>
          <c:tx>
            <c:v>New Rates</c:v>
          </c:tx>
          <c:spPr>
            <a:ln w="38100">
              <a:solidFill>
                <a:schemeClr val="accent1">
                  <a:lumMod val="75000"/>
                </a:schemeClr>
              </a:solidFill>
            </a:ln>
          </c:spPr>
          <c:marker>
            <c:symbol val="none"/>
          </c:marker>
          <c:cat>
            <c:numRef>
              <c:f>'Compare Monthly Bills'!$Q$140:$Q$190</c:f>
              <c:numCache>
                <c:formatCode>#,##0</c:formatCode>
                <c:ptCount val="5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numCache>
            </c:numRef>
          </c:cat>
          <c:val>
            <c:numRef>
              <c:f>'Compare Monthly Bills'!$U$140:$U$190</c:f>
              <c:numCache>
                <c:formatCode>"$"#,##0.00</c:formatCode>
                <c:ptCount val="51"/>
                <c:pt idx="0">
                  <c:v>20</c:v>
                </c:pt>
                <c:pt idx="1">
                  <c:v>24.25</c:v>
                </c:pt>
                <c:pt idx="2">
                  <c:v>28.5</c:v>
                </c:pt>
                <c:pt idx="3">
                  <c:v>32.75</c:v>
                </c:pt>
                <c:pt idx="4">
                  <c:v>37</c:v>
                </c:pt>
                <c:pt idx="5">
                  <c:v>41.25</c:v>
                </c:pt>
                <c:pt idx="6">
                  <c:v>45.5</c:v>
                </c:pt>
                <c:pt idx="7">
                  <c:v>49.75</c:v>
                </c:pt>
                <c:pt idx="8">
                  <c:v>54</c:v>
                </c:pt>
                <c:pt idx="9">
                  <c:v>58.25</c:v>
                </c:pt>
                <c:pt idx="10">
                  <c:v>62.5</c:v>
                </c:pt>
                <c:pt idx="11">
                  <c:v>66.75</c:v>
                </c:pt>
                <c:pt idx="12">
                  <c:v>71</c:v>
                </c:pt>
                <c:pt idx="13">
                  <c:v>75.25</c:v>
                </c:pt>
                <c:pt idx="14">
                  <c:v>79.5</c:v>
                </c:pt>
                <c:pt idx="15">
                  <c:v>83.75</c:v>
                </c:pt>
                <c:pt idx="16">
                  <c:v>88</c:v>
                </c:pt>
                <c:pt idx="17">
                  <c:v>92.25</c:v>
                </c:pt>
                <c:pt idx="18">
                  <c:v>96.5</c:v>
                </c:pt>
                <c:pt idx="19">
                  <c:v>100.75</c:v>
                </c:pt>
                <c:pt idx="20">
                  <c:v>105</c:v>
                </c:pt>
                <c:pt idx="21">
                  <c:v>109.25</c:v>
                </c:pt>
                <c:pt idx="22">
                  <c:v>113.5</c:v>
                </c:pt>
                <c:pt idx="23">
                  <c:v>117.75</c:v>
                </c:pt>
                <c:pt idx="24">
                  <c:v>122</c:v>
                </c:pt>
                <c:pt idx="25">
                  <c:v>126.25</c:v>
                </c:pt>
                <c:pt idx="26">
                  <c:v>130.5</c:v>
                </c:pt>
                <c:pt idx="27">
                  <c:v>134.75</c:v>
                </c:pt>
                <c:pt idx="28">
                  <c:v>139</c:v>
                </c:pt>
                <c:pt idx="29">
                  <c:v>143.25</c:v>
                </c:pt>
                <c:pt idx="30">
                  <c:v>147.5</c:v>
                </c:pt>
                <c:pt idx="31">
                  <c:v>151.75</c:v>
                </c:pt>
                <c:pt idx="32">
                  <c:v>156</c:v>
                </c:pt>
                <c:pt idx="33">
                  <c:v>160.25</c:v>
                </c:pt>
                <c:pt idx="34">
                  <c:v>164.5</c:v>
                </c:pt>
                <c:pt idx="35">
                  <c:v>168.75</c:v>
                </c:pt>
                <c:pt idx="36">
                  <c:v>173</c:v>
                </c:pt>
                <c:pt idx="37">
                  <c:v>177.25</c:v>
                </c:pt>
                <c:pt idx="38">
                  <c:v>181.5</c:v>
                </c:pt>
                <c:pt idx="39">
                  <c:v>185.75</c:v>
                </c:pt>
                <c:pt idx="40">
                  <c:v>190</c:v>
                </c:pt>
                <c:pt idx="41">
                  <c:v>194.25</c:v>
                </c:pt>
                <c:pt idx="42">
                  <c:v>198.5</c:v>
                </c:pt>
                <c:pt idx="43">
                  <c:v>202.75</c:v>
                </c:pt>
                <c:pt idx="44">
                  <c:v>207</c:v>
                </c:pt>
                <c:pt idx="45">
                  <c:v>211.25</c:v>
                </c:pt>
                <c:pt idx="46">
                  <c:v>215.5</c:v>
                </c:pt>
                <c:pt idx="47">
                  <c:v>219.75</c:v>
                </c:pt>
                <c:pt idx="48">
                  <c:v>224</c:v>
                </c:pt>
                <c:pt idx="49">
                  <c:v>228.25</c:v>
                </c:pt>
                <c:pt idx="50">
                  <c:v>232.5</c:v>
                </c:pt>
              </c:numCache>
            </c:numRef>
          </c:val>
          <c:smooth val="0"/>
          <c:extLst>
            <c:ext xmlns:c16="http://schemas.microsoft.com/office/drawing/2014/chart" uri="{C3380CC4-5D6E-409C-BE32-E72D297353CC}">
              <c16:uniqueId val="{00000000-F37F-4BE7-B426-3BE63970A77D}"/>
            </c:ext>
          </c:extLst>
        </c:ser>
        <c:ser>
          <c:idx val="0"/>
          <c:order val="1"/>
          <c:tx>
            <c:v>Existing Rates</c:v>
          </c:tx>
          <c:spPr>
            <a:ln w="38100">
              <a:solidFill>
                <a:schemeClr val="tx2"/>
              </a:solidFill>
              <a:prstDash val="sysDash"/>
            </a:ln>
          </c:spPr>
          <c:marker>
            <c:symbol val="none"/>
          </c:marker>
          <c:cat>
            <c:numRef>
              <c:f>'Compare Monthly Bills'!$Q$140:$Q$190</c:f>
              <c:numCache>
                <c:formatCode>#,##0</c:formatCode>
                <c:ptCount val="5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numCache>
            </c:numRef>
          </c:cat>
          <c:val>
            <c:numRef>
              <c:f>'Compare Monthly Bills'!$S$140:$S$190</c:f>
              <c:numCache>
                <c:formatCode>"$"#,##0.00</c:formatCode>
                <c:ptCount val="51"/>
                <c:pt idx="0">
                  <c:v>16</c:v>
                </c:pt>
                <c:pt idx="1">
                  <c:v>19.5</c:v>
                </c:pt>
                <c:pt idx="2">
                  <c:v>23</c:v>
                </c:pt>
                <c:pt idx="3">
                  <c:v>26.5</c:v>
                </c:pt>
                <c:pt idx="4">
                  <c:v>30</c:v>
                </c:pt>
                <c:pt idx="5">
                  <c:v>33.5</c:v>
                </c:pt>
                <c:pt idx="6">
                  <c:v>37</c:v>
                </c:pt>
                <c:pt idx="7">
                  <c:v>40.5</c:v>
                </c:pt>
                <c:pt idx="8">
                  <c:v>44</c:v>
                </c:pt>
                <c:pt idx="9">
                  <c:v>47.5</c:v>
                </c:pt>
                <c:pt idx="10">
                  <c:v>51</c:v>
                </c:pt>
                <c:pt idx="11">
                  <c:v>54.5</c:v>
                </c:pt>
                <c:pt idx="12">
                  <c:v>58</c:v>
                </c:pt>
                <c:pt idx="13">
                  <c:v>61.5</c:v>
                </c:pt>
                <c:pt idx="14">
                  <c:v>65</c:v>
                </c:pt>
                <c:pt idx="15">
                  <c:v>68.5</c:v>
                </c:pt>
                <c:pt idx="16">
                  <c:v>72</c:v>
                </c:pt>
                <c:pt idx="17">
                  <c:v>75.5</c:v>
                </c:pt>
                <c:pt idx="18">
                  <c:v>79</c:v>
                </c:pt>
                <c:pt idx="19">
                  <c:v>82.5</c:v>
                </c:pt>
                <c:pt idx="20">
                  <c:v>86</c:v>
                </c:pt>
                <c:pt idx="21">
                  <c:v>89.5</c:v>
                </c:pt>
                <c:pt idx="22">
                  <c:v>93</c:v>
                </c:pt>
                <c:pt idx="23">
                  <c:v>96.5</c:v>
                </c:pt>
                <c:pt idx="24">
                  <c:v>100</c:v>
                </c:pt>
                <c:pt idx="25">
                  <c:v>103.5</c:v>
                </c:pt>
                <c:pt idx="26">
                  <c:v>107</c:v>
                </c:pt>
                <c:pt idx="27">
                  <c:v>110.5</c:v>
                </c:pt>
                <c:pt idx="28">
                  <c:v>114</c:v>
                </c:pt>
                <c:pt idx="29">
                  <c:v>117.5</c:v>
                </c:pt>
                <c:pt idx="30">
                  <c:v>121</c:v>
                </c:pt>
                <c:pt idx="31">
                  <c:v>124.5</c:v>
                </c:pt>
                <c:pt idx="32">
                  <c:v>128</c:v>
                </c:pt>
                <c:pt idx="33">
                  <c:v>131.5</c:v>
                </c:pt>
                <c:pt idx="34">
                  <c:v>135</c:v>
                </c:pt>
                <c:pt idx="35">
                  <c:v>138.5</c:v>
                </c:pt>
                <c:pt idx="36">
                  <c:v>142</c:v>
                </c:pt>
                <c:pt idx="37">
                  <c:v>145.5</c:v>
                </c:pt>
                <c:pt idx="38">
                  <c:v>149</c:v>
                </c:pt>
                <c:pt idx="39">
                  <c:v>152.5</c:v>
                </c:pt>
                <c:pt idx="40">
                  <c:v>156</c:v>
                </c:pt>
                <c:pt idx="41">
                  <c:v>159.5</c:v>
                </c:pt>
                <c:pt idx="42">
                  <c:v>163</c:v>
                </c:pt>
                <c:pt idx="43">
                  <c:v>166.5</c:v>
                </c:pt>
                <c:pt idx="44">
                  <c:v>170</c:v>
                </c:pt>
                <c:pt idx="45">
                  <c:v>173.5</c:v>
                </c:pt>
                <c:pt idx="46">
                  <c:v>177</c:v>
                </c:pt>
                <c:pt idx="47">
                  <c:v>180.5</c:v>
                </c:pt>
                <c:pt idx="48">
                  <c:v>184</c:v>
                </c:pt>
                <c:pt idx="49">
                  <c:v>187.5</c:v>
                </c:pt>
                <c:pt idx="50">
                  <c:v>191</c:v>
                </c:pt>
              </c:numCache>
            </c:numRef>
          </c:val>
          <c:smooth val="0"/>
          <c:extLst>
            <c:ext xmlns:c16="http://schemas.microsoft.com/office/drawing/2014/chart" uri="{C3380CC4-5D6E-409C-BE32-E72D297353CC}">
              <c16:uniqueId val="{00000001-F37F-4BE7-B426-3BE63970A77D}"/>
            </c:ext>
          </c:extLst>
        </c:ser>
        <c:dLbls>
          <c:showLegendKey val="0"/>
          <c:showVal val="0"/>
          <c:showCatName val="0"/>
          <c:showSerName val="0"/>
          <c:showPercent val="0"/>
          <c:showBubbleSize val="0"/>
        </c:dLbls>
        <c:smooth val="0"/>
        <c:axId val="82222464"/>
        <c:axId val="82224640"/>
      </c:lineChart>
      <c:catAx>
        <c:axId val="82222464"/>
        <c:scaling>
          <c:orientation val="minMax"/>
        </c:scaling>
        <c:delete val="0"/>
        <c:axPos val="b"/>
        <c:majorGridlines>
          <c:spPr>
            <a:ln>
              <a:solidFill>
                <a:sysClr val="windowText" lastClr="000000">
                  <a:alpha val="10000"/>
                </a:sysClr>
              </a:solidFill>
            </a:ln>
          </c:spPr>
        </c:majorGridlines>
        <c:title>
          <c:tx>
            <c:rich>
              <a:bodyPr/>
              <a:lstStyle/>
              <a:p>
                <a:pPr>
                  <a:defRPr/>
                </a:pPr>
                <a:r>
                  <a:rPr lang="en-US"/>
                  <a:t>Gallons/Month</a:t>
                </a:r>
              </a:p>
            </c:rich>
          </c:tx>
          <c:overlay val="0"/>
        </c:title>
        <c:numFmt formatCode="#,##0" sourceLinked="1"/>
        <c:majorTickMark val="out"/>
        <c:minorTickMark val="none"/>
        <c:tickLblPos val="low"/>
        <c:txPr>
          <a:bodyPr rot="-2700000"/>
          <a:lstStyle/>
          <a:p>
            <a:pPr>
              <a:defRPr sz="900">
                <a:latin typeface="Arial" pitchFamily="34" charset="0"/>
                <a:cs typeface="Arial" pitchFamily="34" charset="0"/>
              </a:defRPr>
            </a:pPr>
            <a:endParaRPr lang="en-US"/>
          </a:p>
        </c:txPr>
        <c:crossAx val="82224640"/>
        <c:crosses val="autoZero"/>
        <c:auto val="1"/>
        <c:lblAlgn val="ctr"/>
        <c:lblOffset val="100"/>
        <c:noMultiLvlLbl val="0"/>
      </c:catAx>
      <c:valAx>
        <c:axId val="82224640"/>
        <c:scaling>
          <c:orientation val="minMax"/>
          <c:min val="0"/>
        </c:scaling>
        <c:delete val="0"/>
        <c:axPos val="l"/>
        <c:majorGridlines>
          <c:spPr>
            <a:ln>
              <a:solidFill>
                <a:sysClr val="windowText" lastClr="000000">
                  <a:alpha val="9000"/>
                </a:sysClr>
              </a:solidFill>
            </a:ln>
          </c:spPr>
        </c:majorGridlines>
        <c:numFmt formatCode="_(&quot;$&quot;* #,##0_);_(&quot;$&quot;* \(#,##0\);_(&quot;$&quot;* &quot;-&quot;_);_(@_)" sourceLinked="0"/>
        <c:majorTickMark val="out"/>
        <c:minorTickMark val="none"/>
        <c:tickLblPos val="nextTo"/>
        <c:txPr>
          <a:bodyPr/>
          <a:lstStyle/>
          <a:p>
            <a:pPr>
              <a:defRPr sz="900">
                <a:latin typeface="Arial" pitchFamily="34" charset="0"/>
                <a:cs typeface="Arial" pitchFamily="34" charset="0"/>
              </a:defRPr>
            </a:pPr>
            <a:endParaRPr lang="en-US"/>
          </a:p>
        </c:txPr>
        <c:crossAx val="82222464"/>
        <c:crosses val="autoZero"/>
        <c:crossBetween val="midCat"/>
      </c:valAx>
      <c:spPr>
        <a:solidFill>
          <a:schemeClr val="bg1">
            <a:lumMod val="95000"/>
          </a:schemeClr>
        </a:solidFill>
        <a:ln>
          <a:solidFill>
            <a:sysClr val="windowText" lastClr="000000"/>
          </a:solidFill>
        </a:ln>
        <a:effectLst>
          <a:outerShdw blurRad="50800" dist="152400" dir="8760000" sx="95000" sy="95000" algn="ctr" rotWithShape="0">
            <a:srgbClr val="000000">
              <a:alpha val="99000"/>
            </a:srgbClr>
          </a:outerShdw>
        </a:effectLst>
      </c:spPr>
    </c:plotArea>
    <c:legend>
      <c:legendPos val="r"/>
      <c:layout>
        <c:manualLayout>
          <c:xMode val="edge"/>
          <c:yMode val="edge"/>
          <c:x val="0.76088551108946423"/>
          <c:y val="2.0686960194487954E-2"/>
          <c:w val="0.14905543379242542"/>
          <c:h val="0.11613272273161128"/>
        </c:manualLayout>
      </c:layout>
      <c:overlay val="0"/>
      <c:spPr>
        <a:solidFill>
          <a:schemeClr val="bg1">
            <a:lumMod val="85000"/>
          </a:schemeClr>
        </a:solidFill>
        <a:ln>
          <a:solidFill>
            <a:sysClr val="windowText" lastClr="000000"/>
          </a:solidFill>
        </a:ln>
        <a:effectLst>
          <a:outerShdw blurRad="50800" dist="50800" dir="8880000" sx="95000" sy="95000" algn="ctr" rotWithShape="0">
            <a:srgbClr val="000000">
              <a:alpha val="99000"/>
            </a:srgbClr>
          </a:outerShdw>
        </a:effectLst>
      </c:spPr>
      <c:txPr>
        <a:bodyPr/>
        <a:lstStyle/>
        <a:p>
          <a:pPr>
            <a:defRPr sz="800">
              <a:latin typeface="Arial" pitchFamily="34" charset="0"/>
              <a:cs typeface="Arial" pitchFamily="34" charset="0"/>
            </a:defRPr>
          </a:pPr>
          <a:endParaRPr lang="en-US"/>
        </a:p>
      </c:txPr>
    </c:legend>
    <c:plotVisOnly val="1"/>
    <c:dispBlanksAs val="gap"/>
    <c:showDLblsOverMax val="0"/>
  </c:chart>
  <c:spPr>
    <a:pattFill prst="pct50">
      <a:fgClr>
        <a:schemeClr val="bg1">
          <a:lumMod val="65000"/>
        </a:schemeClr>
      </a:fgClr>
      <a:bgClr>
        <a:schemeClr val="accent3">
          <a:lumMod val="60000"/>
          <a:lumOff val="40000"/>
        </a:schemeClr>
      </a:bgClr>
    </a:patt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6.tmp"/><Relationship Id="rId3" Type="http://schemas.openxmlformats.org/officeDocument/2006/relationships/image" Target="../media/image1.png"/><Relationship Id="rId7" Type="http://schemas.openxmlformats.org/officeDocument/2006/relationships/image" Target="../media/image3.png"/><Relationship Id="rId12" Type="http://schemas.openxmlformats.org/officeDocument/2006/relationships/hyperlink" Target="#'Compare Monthly Bills'!A1"/><Relationship Id="rId2" Type="http://schemas.openxmlformats.org/officeDocument/2006/relationships/hyperlink" Target="#'Data Input 1'!A1"/><Relationship Id="rId1" Type="http://schemas.openxmlformats.org/officeDocument/2006/relationships/hyperlink" Target="http://efc.sog.unc.edu/" TargetMode="External"/><Relationship Id="rId6" Type="http://schemas.openxmlformats.org/officeDocument/2006/relationships/hyperlink" Target="#Charts!A1"/><Relationship Id="rId11" Type="http://schemas.openxmlformats.org/officeDocument/2006/relationships/hyperlink" Target="#'Fund Balance - New Rates'!A1"/><Relationship Id="rId5" Type="http://schemas.openxmlformats.org/officeDocument/2006/relationships/image" Target="../media/image2.png"/><Relationship Id="rId10" Type="http://schemas.openxmlformats.org/officeDocument/2006/relationships/hyperlink" Target="#'Fund Balance - Existing Rates'!A1"/><Relationship Id="rId4" Type="http://schemas.openxmlformats.org/officeDocument/2006/relationships/hyperlink" Target="#'Data Input 2'!A1"/><Relationship Id="rId9" Type="http://schemas.openxmlformats.org/officeDocument/2006/relationships/image" Target="../media/image5.png"/><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95250</xdr:rowOff>
    </xdr:from>
    <xdr:to>
      <xdr:col>19</xdr:col>
      <xdr:colOff>114300</xdr:colOff>
      <xdr:row>44</xdr:row>
      <xdr:rowOff>9525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180975" y="95250"/>
          <a:ext cx="11153775" cy="7038975"/>
        </a:xfrm>
        <a:prstGeom prst="roundRect">
          <a:avLst/>
        </a:prstGeom>
        <a:ln>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t" upright="1"/>
        <a:lstStyle/>
        <a:p>
          <a:pPr algn="l"/>
          <a:endParaRPr lang="en-US" sz="1100" b="1">
            <a:latin typeface="Arial" pitchFamily="34" charset="0"/>
            <a:cs typeface="Arial" pitchFamily="34" charset="0"/>
          </a:endParaRPr>
        </a:p>
      </xdr:txBody>
    </xdr:sp>
    <xdr:clientData/>
  </xdr:twoCellAnchor>
  <xdr:twoCellAnchor>
    <xdr:from>
      <xdr:col>0</xdr:col>
      <xdr:colOff>542925</xdr:colOff>
      <xdr:row>0</xdr:row>
      <xdr:rowOff>114299</xdr:rowOff>
    </xdr:from>
    <xdr:to>
      <xdr:col>18</xdr:col>
      <xdr:colOff>209550</xdr:colOff>
      <xdr:row>10</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42925" y="114299"/>
          <a:ext cx="10639425" cy="105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1">
              <a:latin typeface="Arial" pitchFamily="34" charset="0"/>
              <a:cs typeface="Arial" pitchFamily="34" charset="0"/>
            </a:rPr>
            <a:t> 		Water and Sewer Rates Analysis</a:t>
          </a:r>
          <a:r>
            <a:rPr lang="en-US" sz="2800" b="1" baseline="0">
              <a:latin typeface="Arial" pitchFamily="34" charset="0"/>
              <a:cs typeface="Arial" pitchFamily="34" charset="0"/>
            </a:rPr>
            <a:t> Model</a:t>
          </a:r>
        </a:p>
        <a:p>
          <a:pPr algn="ctr"/>
          <a:r>
            <a:rPr lang="en-US" sz="1800" baseline="0">
              <a:latin typeface="Arial" pitchFamily="34" charset="0"/>
              <a:cs typeface="Arial" pitchFamily="34" charset="0"/>
            </a:rPr>
            <a:t>	Version 2.7   </a:t>
          </a:r>
          <a:r>
            <a:rPr lang="en-US" sz="1200" baseline="0">
              <a:latin typeface="Arial" pitchFamily="34" charset="0"/>
              <a:cs typeface="Arial" pitchFamily="34" charset="0"/>
            </a:rPr>
            <a:t>(updated March 24, 2014)</a:t>
          </a:r>
        </a:p>
        <a:p>
          <a:pPr algn="ctr"/>
          <a:r>
            <a:rPr lang="en-US" sz="1200" i="1" baseline="0">
              <a:solidFill>
                <a:schemeClr val="accent1"/>
              </a:solidFill>
              <a:latin typeface="Arial" pitchFamily="34" charset="0"/>
              <a:cs typeface="Arial" pitchFamily="34" charset="0"/>
            </a:rPr>
            <a:t>20-year fund balance estimates under proposed new rates vs. existing rates: compare side-by-side</a:t>
          </a:r>
        </a:p>
        <a:p>
          <a:pPr algn="ctr"/>
          <a:r>
            <a:rPr lang="en-US" sz="1200" i="1" baseline="0">
              <a:solidFill>
                <a:schemeClr val="accent1"/>
              </a:solidFill>
              <a:latin typeface="Arial" pitchFamily="34" charset="0"/>
              <a:cs typeface="Arial" pitchFamily="34" charset="0"/>
            </a:rPr>
            <a:t>Uniform or block rates		Residential and non-residential rates		Changes to customers and demands</a:t>
          </a:r>
        </a:p>
        <a:p>
          <a:pPr algn="ctr"/>
          <a:endParaRPr lang="en-US" sz="800" baseline="0">
            <a:latin typeface="Arial" pitchFamily="34" charset="0"/>
            <a:cs typeface="Arial" pitchFamily="34" charset="0"/>
          </a:endParaRPr>
        </a:p>
        <a:p>
          <a:pPr algn="ctr"/>
          <a:r>
            <a:rPr lang="en-US" sz="2000" b="1" baseline="0">
              <a:latin typeface="Arial" pitchFamily="34" charset="0"/>
              <a:cs typeface="Arial" pitchFamily="34" charset="0"/>
            </a:rPr>
            <a:t>	INSTRUCTIONS</a:t>
          </a:r>
          <a:endParaRPr lang="en-US" sz="2000" b="1">
            <a:latin typeface="Arial" pitchFamily="34" charset="0"/>
            <a:cs typeface="Arial" pitchFamily="34" charset="0"/>
          </a:endParaRPr>
        </a:p>
      </xdr:txBody>
    </xdr:sp>
    <xdr:clientData/>
  </xdr:twoCellAnchor>
  <xdr:twoCellAnchor>
    <xdr:from>
      <xdr:col>1</xdr:col>
      <xdr:colOff>142876</xdr:colOff>
      <xdr:row>10</xdr:row>
      <xdr:rowOff>0</xdr:rowOff>
    </xdr:from>
    <xdr:to>
      <xdr:col>7</xdr:col>
      <xdr:colOff>485776</xdr:colOff>
      <xdr:row>14</xdr:row>
      <xdr:rowOff>19050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52476" y="1133475"/>
          <a:ext cx="40005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a:latin typeface="Arial" pitchFamily="34" charset="0"/>
              <a:cs typeface="Arial" pitchFamily="34" charset="0"/>
            </a:rPr>
            <a:t>1) Click</a:t>
          </a:r>
          <a:r>
            <a:rPr lang="en-US" sz="1400" b="0" baseline="0">
              <a:latin typeface="Arial" pitchFamily="34" charset="0"/>
              <a:cs typeface="Arial" pitchFamily="34" charset="0"/>
            </a:rPr>
            <a:t> on tabs at bottom of screen to navigate to different pages.</a:t>
          </a:r>
          <a:endParaRPr lang="en-US" sz="1400" b="0">
            <a:latin typeface="Arial" pitchFamily="34" charset="0"/>
            <a:cs typeface="Arial" pitchFamily="34" charset="0"/>
          </a:endParaRPr>
        </a:p>
      </xdr:txBody>
    </xdr:sp>
    <xdr:clientData/>
  </xdr:twoCellAnchor>
  <xdr:twoCellAnchor>
    <xdr:from>
      <xdr:col>7</xdr:col>
      <xdr:colOff>571500</xdr:colOff>
      <xdr:row>11</xdr:row>
      <xdr:rowOff>114300</xdr:rowOff>
    </xdr:from>
    <xdr:to>
      <xdr:col>14</xdr:col>
      <xdr:colOff>114300</xdr:colOff>
      <xdr:row>16</xdr:row>
      <xdr:rowOff>114299</xdr:rowOff>
    </xdr:to>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000-000008000000}"/>
            </a:ext>
          </a:extLst>
        </xdr:cNvPr>
        <xdr:cNvSpPr txBox="1"/>
      </xdr:nvSpPr>
      <xdr:spPr>
        <a:xfrm>
          <a:off x="4705350" y="1895475"/>
          <a:ext cx="3676650"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a:latin typeface="Arial" pitchFamily="34" charset="0"/>
              <a:cs typeface="Arial" pitchFamily="34" charset="0"/>
            </a:rPr>
            <a:t>2) On the </a:t>
          </a:r>
          <a:r>
            <a:rPr lang="en-US" sz="1400" b="1" u="sng">
              <a:solidFill>
                <a:srgbClr val="0070C0"/>
              </a:solidFill>
              <a:latin typeface="Arial" pitchFamily="34" charset="0"/>
              <a:cs typeface="Arial" pitchFamily="34" charset="0"/>
            </a:rPr>
            <a:t>"Data</a:t>
          </a:r>
          <a:r>
            <a:rPr lang="en-US" sz="1400" b="1" u="sng" baseline="0">
              <a:solidFill>
                <a:srgbClr val="0070C0"/>
              </a:solidFill>
              <a:latin typeface="Arial" pitchFamily="34" charset="0"/>
              <a:cs typeface="Arial" pitchFamily="34" charset="0"/>
            </a:rPr>
            <a:t> Input 1"</a:t>
          </a:r>
          <a:r>
            <a:rPr lang="en-US" sz="1400" b="0" baseline="0">
              <a:latin typeface="Arial" pitchFamily="34" charset="0"/>
              <a:cs typeface="Arial" pitchFamily="34" charset="0"/>
            </a:rPr>
            <a:t> tab enter current and new rate details in the dark green cells.</a:t>
          </a:r>
        </a:p>
      </xdr:txBody>
    </xdr:sp>
    <xdr:clientData/>
  </xdr:twoCellAnchor>
  <xdr:twoCellAnchor>
    <xdr:from>
      <xdr:col>8</xdr:col>
      <xdr:colOff>219075</xdr:colOff>
      <xdr:row>15</xdr:row>
      <xdr:rowOff>28575</xdr:rowOff>
    </xdr:from>
    <xdr:to>
      <xdr:col>13</xdr:col>
      <xdr:colOff>208046</xdr:colOff>
      <xdr:row>29</xdr:row>
      <xdr:rowOff>114300</xdr:rowOff>
    </xdr:to>
    <xdr:grpSp>
      <xdr:nvGrpSpPr>
        <xdr:cNvPr id="27" name="Group 26">
          <a:extLst>
            <a:ext uri="{FF2B5EF4-FFF2-40B4-BE49-F238E27FC236}">
              <a16:creationId xmlns:a16="http://schemas.microsoft.com/office/drawing/2014/main" id="{00000000-0008-0000-0000-00001B000000}"/>
            </a:ext>
          </a:extLst>
        </xdr:cNvPr>
        <xdr:cNvGrpSpPr/>
      </xdr:nvGrpSpPr>
      <xdr:grpSpPr>
        <a:xfrm>
          <a:off x="4943475" y="2457450"/>
          <a:ext cx="2941721" cy="2352675"/>
          <a:chOff x="5514975" y="2019300"/>
          <a:chExt cx="3036971" cy="2352675"/>
        </a:xfrm>
      </xdr:grpSpPr>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4975" y="2019300"/>
            <a:ext cx="3036971" cy="23526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2" name="Straight Arrow Connector 11">
            <a:extLst>
              <a:ext uri="{FF2B5EF4-FFF2-40B4-BE49-F238E27FC236}">
                <a16:creationId xmlns:a16="http://schemas.microsoft.com/office/drawing/2014/main" id="{00000000-0008-0000-0000-00000C000000}"/>
              </a:ext>
            </a:extLst>
          </xdr:cNvPr>
          <xdr:cNvCxnSpPr>
            <a:stCxn id="9" idx="0"/>
          </xdr:cNvCxnSpPr>
        </xdr:nvCxnSpPr>
        <xdr:spPr bwMode="auto">
          <a:xfrm>
            <a:off x="7033461" y="2019300"/>
            <a:ext cx="900864" cy="371475"/>
          </a:xfrm>
          <a:prstGeom prst="straightConnector1">
            <a:avLst/>
          </a:prstGeom>
          <a:ln>
            <a:headEnd type="none" w="med" len="med"/>
            <a:tailEnd type="arrow"/>
          </a:ln>
          <a:extLst/>
        </xdr:spPr>
        <xdr:style>
          <a:lnRef idx="2">
            <a:schemeClr val="dk1"/>
          </a:lnRef>
          <a:fillRef idx="0">
            <a:schemeClr val="dk1"/>
          </a:fillRef>
          <a:effectRef idx="1">
            <a:schemeClr val="dk1"/>
          </a:effectRef>
          <a:fontRef idx="minor">
            <a:schemeClr val="tx1"/>
          </a:fontRef>
        </xdr:style>
      </xdr:cxnSp>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bwMode="auto">
          <a:xfrm>
            <a:off x="7042986" y="2047875"/>
            <a:ext cx="319839" cy="504825"/>
          </a:xfrm>
          <a:prstGeom prst="straightConnector1">
            <a:avLst/>
          </a:prstGeom>
          <a:ln>
            <a:headEnd type="none" w="med" len="med"/>
            <a:tailEnd type="arrow"/>
          </a:ln>
          <a:extLst/>
        </xdr:spPr>
        <xdr:style>
          <a:lnRef idx="2">
            <a:schemeClr val="dk1"/>
          </a:lnRef>
          <a:fillRef idx="0">
            <a:schemeClr val="dk1"/>
          </a:fillRef>
          <a:effectRef idx="1">
            <a:schemeClr val="dk1"/>
          </a:effectRef>
          <a:fontRef idx="minor">
            <a:schemeClr val="tx1"/>
          </a:fontRef>
        </xdr:style>
      </xdr:cxnSp>
      <xdr:cxnSp macro="">
        <xdr:nvCxnSpPr>
          <xdr:cNvPr id="15" name="Straight Arrow Connector 14">
            <a:extLst>
              <a:ext uri="{FF2B5EF4-FFF2-40B4-BE49-F238E27FC236}">
                <a16:creationId xmlns:a16="http://schemas.microsoft.com/office/drawing/2014/main" id="{00000000-0008-0000-0000-00000F000000}"/>
              </a:ext>
            </a:extLst>
          </xdr:cNvPr>
          <xdr:cNvCxnSpPr>
            <a:stCxn id="9" idx="0"/>
          </xdr:cNvCxnSpPr>
        </xdr:nvCxnSpPr>
        <xdr:spPr bwMode="auto">
          <a:xfrm flipH="1">
            <a:off x="6838951" y="2019300"/>
            <a:ext cx="194510" cy="533400"/>
          </a:xfrm>
          <a:prstGeom prst="straightConnector1">
            <a:avLst/>
          </a:prstGeom>
          <a:ln>
            <a:headEnd type="none" w="med" len="med"/>
            <a:tailEnd type="arrow"/>
          </a:ln>
          <a:extLst/>
        </xdr:spPr>
        <xdr:style>
          <a:lnRef idx="2">
            <a:schemeClr val="dk1"/>
          </a:lnRef>
          <a:fillRef idx="0">
            <a:schemeClr val="dk1"/>
          </a:fillRef>
          <a:effectRef idx="1">
            <a:schemeClr val="dk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000-000011000000}"/>
              </a:ext>
            </a:extLst>
          </xdr:cNvPr>
          <xdr:cNvCxnSpPr>
            <a:stCxn id="9" idx="0"/>
          </xdr:cNvCxnSpPr>
        </xdr:nvCxnSpPr>
        <xdr:spPr bwMode="auto">
          <a:xfrm>
            <a:off x="7033461" y="2019300"/>
            <a:ext cx="453189" cy="1419225"/>
          </a:xfrm>
          <a:prstGeom prst="straightConnector1">
            <a:avLst/>
          </a:prstGeom>
          <a:ln>
            <a:headEnd type="none" w="med" len="med"/>
            <a:tailEnd type="arrow"/>
          </a:ln>
          <a:extLst/>
        </xdr:spPr>
        <xdr:style>
          <a:lnRef idx="2">
            <a:schemeClr val="dk1"/>
          </a:lnRef>
          <a:fillRef idx="0">
            <a:schemeClr val="dk1"/>
          </a:fillRef>
          <a:effectRef idx="1">
            <a:schemeClr val="dk1"/>
          </a:effectRef>
          <a:fontRef idx="minor">
            <a:schemeClr val="tx1"/>
          </a:fontRef>
        </xdr:style>
      </xdr:cxnSp>
      <xdr:cxnSp macro="">
        <xdr:nvCxnSpPr>
          <xdr:cNvPr id="21" name="Straight Arrow Connector 20">
            <a:extLst>
              <a:ext uri="{FF2B5EF4-FFF2-40B4-BE49-F238E27FC236}">
                <a16:creationId xmlns:a16="http://schemas.microsoft.com/office/drawing/2014/main" id="{00000000-0008-0000-0000-000015000000}"/>
              </a:ext>
            </a:extLst>
          </xdr:cNvPr>
          <xdr:cNvCxnSpPr>
            <a:stCxn id="9" idx="0"/>
          </xdr:cNvCxnSpPr>
        </xdr:nvCxnSpPr>
        <xdr:spPr bwMode="auto">
          <a:xfrm>
            <a:off x="7033461" y="2019300"/>
            <a:ext cx="967539" cy="609600"/>
          </a:xfrm>
          <a:prstGeom prst="straightConnector1">
            <a:avLst/>
          </a:prstGeom>
          <a:ln>
            <a:headEnd type="none" w="med" len="med"/>
            <a:tailEnd type="arrow"/>
          </a:ln>
          <a:extLst/>
        </xdr:spPr>
        <xdr:style>
          <a:lnRef idx="2">
            <a:schemeClr val="dk1"/>
          </a:lnRef>
          <a:fillRef idx="0">
            <a:schemeClr val="dk1"/>
          </a:fillRef>
          <a:effectRef idx="1">
            <a:schemeClr val="dk1"/>
          </a:effectRef>
          <a:fontRef idx="minor">
            <a:schemeClr val="tx1"/>
          </a:fontRef>
        </xdr:style>
      </xdr:cxnSp>
      <xdr:cxnSp macro="">
        <xdr:nvCxnSpPr>
          <xdr:cNvPr id="24" name="Straight Arrow Connector 23">
            <a:extLst>
              <a:ext uri="{FF2B5EF4-FFF2-40B4-BE49-F238E27FC236}">
                <a16:creationId xmlns:a16="http://schemas.microsoft.com/office/drawing/2014/main" id="{00000000-0008-0000-0000-000018000000}"/>
              </a:ext>
            </a:extLst>
          </xdr:cNvPr>
          <xdr:cNvCxnSpPr>
            <a:stCxn id="9" idx="0"/>
          </xdr:cNvCxnSpPr>
        </xdr:nvCxnSpPr>
        <xdr:spPr bwMode="auto">
          <a:xfrm>
            <a:off x="7033461" y="2019300"/>
            <a:ext cx="948489" cy="95250"/>
          </a:xfrm>
          <a:prstGeom prst="straightConnector1">
            <a:avLst/>
          </a:prstGeom>
          <a:ln>
            <a:headEnd type="none" w="med" len="med"/>
            <a:tailEnd type="arrow"/>
          </a:ln>
          <a:ex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466725</xdr:colOff>
      <xdr:row>22</xdr:row>
      <xdr:rowOff>76200</xdr:rowOff>
    </xdr:from>
    <xdr:to>
      <xdr:col>7</xdr:col>
      <xdr:colOff>476250</xdr:colOff>
      <xdr:row>27</xdr:row>
      <xdr:rowOff>47625</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000-000020000000}"/>
            </a:ext>
          </a:extLst>
        </xdr:cNvPr>
        <xdr:cNvSpPr txBox="1"/>
      </xdr:nvSpPr>
      <xdr:spPr>
        <a:xfrm>
          <a:off x="466725" y="3152775"/>
          <a:ext cx="4276725"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a:latin typeface="Arial" pitchFamily="34" charset="0"/>
              <a:cs typeface="Arial" pitchFamily="34" charset="0"/>
            </a:rPr>
            <a:t>3) On the </a:t>
          </a:r>
          <a:r>
            <a:rPr lang="en-US" sz="1400" b="1" u="sng">
              <a:solidFill>
                <a:srgbClr val="0070C0"/>
              </a:solidFill>
              <a:latin typeface="Arial" pitchFamily="34" charset="0"/>
              <a:cs typeface="Arial" pitchFamily="34" charset="0"/>
            </a:rPr>
            <a:t>"Data</a:t>
          </a:r>
          <a:r>
            <a:rPr lang="en-US" sz="1400" b="1" u="sng" baseline="0">
              <a:solidFill>
                <a:srgbClr val="0070C0"/>
              </a:solidFill>
              <a:latin typeface="Arial" pitchFamily="34" charset="0"/>
              <a:cs typeface="Arial" pitchFamily="34" charset="0"/>
            </a:rPr>
            <a:t> Input 2"</a:t>
          </a:r>
          <a:r>
            <a:rPr lang="en-US" sz="1400" b="0" baseline="0">
              <a:latin typeface="Arial" pitchFamily="34" charset="0"/>
              <a:cs typeface="Arial" pitchFamily="34" charset="0"/>
            </a:rPr>
            <a:t> tab enter current consumption levels, utility finances, and other assumptions in the dark green cells.</a:t>
          </a:r>
        </a:p>
      </xdr:txBody>
    </xdr:sp>
    <xdr:clientData/>
  </xdr:twoCellAnchor>
  <xdr:twoCellAnchor editAs="oneCell">
    <xdr:from>
      <xdr:col>13</xdr:col>
      <xdr:colOff>577623</xdr:colOff>
      <xdr:row>20</xdr:row>
      <xdr:rowOff>57150</xdr:rowOff>
    </xdr:from>
    <xdr:to>
      <xdr:col>18</xdr:col>
      <xdr:colOff>581025</xdr:colOff>
      <xdr:row>38</xdr:row>
      <xdr:rowOff>114300</xdr:rowOff>
    </xdr:to>
    <xdr:pic>
      <xdr:nvPicPr>
        <xdr:cNvPr id="53" name="Picture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02423" y="2809875"/>
          <a:ext cx="3051402"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152401</xdr:colOff>
      <xdr:row>30</xdr:row>
      <xdr:rowOff>152399</xdr:rowOff>
    </xdr:from>
    <xdr:to>
      <xdr:col>11</xdr:col>
      <xdr:colOff>476251</xdr:colOff>
      <xdr:row>43</xdr:row>
      <xdr:rowOff>0</xdr:rowOff>
    </xdr:to>
    <xdr:sp macro="" textlink="">
      <xdr:nvSpPr>
        <xdr:cNvPr id="58" name="TextBox 57">
          <a:hlinkClick xmlns:r="http://schemas.openxmlformats.org/officeDocument/2006/relationships" r:id="rId6"/>
          <a:extLst>
            <a:ext uri="{FF2B5EF4-FFF2-40B4-BE49-F238E27FC236}">
              <a16:creationId xmlns:a16="http://schemas.microsoft.com/office/drawing/2014/main" id="{00000000-0008-0000-0000-00003A000000}"/>
            </a:ext>
          </a:extLst>
        </xdr:cNvPr>
        <xdr:cNvSpPr txBox="1"/>
      </xdr:nvSpPr>
      <xdr:spPr>
        <a:xfrm>
          <a:off x="5029201" y="4524374"/>
          <a:ext cx="2152650" cy="2009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a:latin typeface="Arial" pitchFamily="34" charset="0"/>
              <a:cs typeface="Arial" pitchFamily="34" charset="0"/>
            </a:rPr>
            <a:t>4) On the </a:t>
          </a:r>
          <a:r>
            <a:rPr lang="en-US" sz="1400" b="1" u="sng">
              <a:solidFill>
                <a:srgbClr val="0070C0"/>
              </a:solidFill>
              <a:latin typeface="Arial" pitchFamily="34" charset="0"/>
              <a:cs typeface="Arial" pitchFamily="34" charset="0"/>
            </a:rPr>
            <a:t>"Charts</a:t>
          </a:r>
          <a:r>
            <a:rPr lang="en-US" sz="1400" b="1" u="sng" baseline="0">
              <a:solidFill>
                <a:srgbClr val="0070C0"/>
              </a:solidFill>
              <a:latin typeface="Arial" pitchFamily="34" charset="0"/>
              <a:cs typeface="Arial" pitchFamily="34" charset="0"/>
            </a:rPr>
            <a:t>"</a:t>
          </a:r>
          <a:r>
            <a:rPr lang="en-US" sz="1400" b="0" baseline="0">
              <a:latin typeface="Arial" pitchFamily="34" charset="0"/>
              <a:cs typeface="Arial" pitchFamily="34" charset="0"/>
            </a:rPr>
            <a:t> tab, see projections of the End of Year Fund Balance, and input a Fund Balance Policy in the dark green cell at the top of the page.</a:t>
          </a:r>
        </a:p>
      </xdr:txBody>
    </xdr:sp>
    <xdr:clientData/>
  </xdr:twoCellAnchor>
  <xdr:twoCellAnchor editAs="oneCell">
    <xdr:from>
      <xdr:col>1</xdr:col>
      <xdr:colOff>419100</xdr:colOff>
      <xdr:row>0</xdr:row>
      <xdr:rowOff>95250</xdr:rowOff>
    </xdr:from>
    <xdr:to>
      <xdr:col>4</xdr:col>
      <xdr:colOff>494504</xdr:colOff>
      <xdr:row>5</xdr:row>
      <xdr:rowOff>95250</xdr:rowOff>
    </xdr:to>
    <xdr:pic>
      <xdr:nvPicPr>
        <xdr:cNvPr id="31" name="Picture 30">
          <a:hlinkClick xmlns:r="http://schemas.openxmlformats.org/officeDocument/2006/relationships" r:id="rId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09650" y="95250"/>
          <a:ext cx="1847054" cy="809625"/>
        </a:xfrm>
        <a:prstGeom prst="rect">
          <a:avLst/>
        </a:prstGeom>
      </xdr:spPr>
    </xdr:pic>
    <xdr:clientData/>
  </xdr:twoCellAnchor>
  <xdr:twoCellAnchor editAs="oneCell">
    <xdr:from>
      <xdr:col>1</xdr:col>
      <xdr:colOff>0</xdr:colOff>
      <xdr:row>27</xdr:row>
      <xdr:rowOff>0</xdr:rowOff>
    </xdr:from>
    <xdr:to>
      <xdr:col>8</xdr:col>
      <xdr:colOff>95250</xdr:colOff>
      <xdr:row>40</xdr:row>
      <xdr:rowOff>114300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6972"/>
        <a:stretch/>
      </xdr:blipFill>
      <xdr:spPr>
        <a:xfrm>
          <a:off x="590550" y="4371975"/>
          <a:ext cx="4229100" cy="2219325"/>
        </a:xfrm>
        <a:prstGeom prst="rect">
          <a:avLst/>
        </a:prstGeom>
      </xdr:spPr>
    </xdr:pic>
    <xdr:clientData/>
  </xdr:twoCellAnchor>
  <xdr:twoCellAnchor editAs="oneCell">
    <xdr:from>
      <xdr:col>0</xdr:col>
      <xdr:colOff>276226</xdr:colOff>
      <xdr:row>13</xdr:row>
      <xdr:rowOff>66675</xdr:rowOff>
    </xdr:from>
    <xdr:to>
      <xdr:col>7</xdr:col>
      <xdr:colOff>428626</xdr:colOff>
      <xdr:row>16</xdr:row>
      <xdr:rowOff>19111</xdr:rowOff>
    </xdr:to>
    <xdr:pic>
      <xdr:nvPicPr>
        <xdr:cNvPr id="34" name="Picture 33" descr="Screen Clipping">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a:stretch/>
      </xdr:blipFill>
      <xdr:spPr>
        <a:xfrm>
          <a:off x="276226" y="2171700"/>
          <a:ext cx="4286250" cy="438211"/>
        </a:xfrm>
        <a:prstGeom prst="rect">
          <a:avLst/>
        </a:prstGeom>
      </xdr:spPr>
    </xdr:pic>
    <xdr:clientData/>
  </xdr:twoCellAnchor>
  <xdr:oneCellAnchor>
    <xdr:from>
      <xdr:col>2</xdr:col>
      <xdr:colOff>123825</xdr:colOff>
      <xdr:row>41</xdr:row>
      <xdr:rowOff>57149</xdr:rowOff>
    </xdr:from>
    <xdr:ext cx="8953500" cy="454583"/>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1304925" y="6696074"/>
          <a:ext cx="8953500" cy="454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i="1">
              <a:solidFill>
                <a:srgbClr val="FF0000"/>
              </a:solidFill>
              <a:latin typeface="Arial" pitchFamily="34" charset="0"/>
              <a:cs typeface="Arial" pitchFamily="34" charset="0"/>
            </a:rPr>
            <a:t>Note: This  tool models the impact</a:t>
          </a:r>
          <a:r>
            <a:rPr lang="en-US" sz="1100" i="1" baseline="0">
              <a:solidFill>
                <a:srgbClr val="FF0000"/>
              </a:solidFill>
              <a:latin typeface="Arial" pitchFamily="34" charset="0"/>
              <a:cs typeface="Arial" pitchFamily="34" charset="0"/>
            </a:rPr>
            <a:t> on a utility's fund balance of a one-time increase in rates, rather than an ongoing series of rate increases. Update this tool </a:t>
          </a:r>
          <a:r>
            <a:rPr lang="en-US" sz="1100" b="1" i="1" baseline="0">
              <a:solidFill>
                <a:srgbClr val="FF0000"/>
              </a:solidFill>
              <a:latin typeface="Arial" pitchFamily="34" charset="0"/>
              <a:cs typeface="Arial" pitchFamily="34" charset="0"/>
            </a:rPr>
            <a:t>every year </a:t>
          </a:r>
          <a:r>
            <a:rPr lang="en-US" sz="1100" b="0" i="1" baseline="0">
              <a:solidFill>
                <a:srgbClr val="FF0000"/>
              </a:solidFill>
              <a:latin typeface="Arial" pitchFamily="34" charset="0"/>
              <a:cs typeface="Arial" pitchFamily="34" charset="0"/>
            </a:rPr>
            <a:t>and do not rely on analysis conducted more than one year ago.</a:t>
          </a:r>
          <a:endParaRPr lang="en-US" sz="1100" b="1" i="1">
            <a:solidFill>
              <a:srgbClr val="FF0000"/>
            </a:solidFill>
            <a:latin typeface="Arial" pitchFamily="34" charset="0"/>
            <a:cs typeface="Arial" pitchFamily="34" charset="0"/>
          </a:endParaRPr>
        </a:p>
      </xdr:txBody>
    </xdr:sp>
    <xdr:clientData/>
  </xdr:oneCellAnchor>
  <xdr:twoCellAnchor>
    <xdr:from>
      <xdr:col>2</xdr:col>
      <xdr:colOff>553129</xdr:colOff>
      <xdr:row>13</xdr:row>
      <xdr:rowOff>0</xdr:rowOff>
    </xdr:from>
    <xdr:to>
      <xdr:col>4</xdr:col>
      <xdr:colOff>238125</xdr:colOff>
      <xdr:row>17</xdr:row>
      <xdr:rowOff>38100</xdr:rowOff>
    </xdr:to>
    <xdr:sp macro="" textlink="">
      <xdr:nvSpPr>
        <xdr:cNvPr id="7" name="Oval 6">
          <a:extLst>
            <a:ext uri="{FF2B5EF4-FFF2-40B4-BE49-F238E27FC236}">
              <a16:creationId xmlns:a16="http://schemas.microsoft.com/office/drawing/2014/main" id="{00000000-0008-0000-0000-000007000000}"/>
            </a:ext>
          </a:extLst>
        </xdr:cNvPr>
        <xdr:cNvSpPr/>
      </xdr:nvSpPr>
      <xdr:spPr bwMode="auto">
        <a:xfrm>
          <a:off x="1734229" y="2105025"/>
          <a:ext cx="866096" cy="685800"/>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13</xdr:col>
      <xdr:colOff>466725</xdr:colOff>
      <xdr:row>11</xdr:row>
      <xdr:rowOff>142875</xdr:rowOff>
    </xdr:from>
    <xdr:to>
      <xdr:col>19</xdr:col>
      <xdr:colOff>286727</xdr:colOff>
      <xdr:row>19</xdr:row>
      <xdr:rowOff>161923</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8143875" y="1924050"/>
          <a:ext cx="3363302" cy="1314448"/>
          <a:chOff x="8143875" y="1924050"/>
          <a:chExt cx="3363302" cy="1314448"/>
        </a:xfrm>
      </xdr:grpSpPr>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000-000034000000}"/>
              </a:ext>
            </a:extLst>
          </xdr:cNvPr>
          <xdr:cNvSpPr txBox="1"/>
        </xdr:nvSpPr>
        <xdr:spPr>
          <a:xfrm>
            <a:off x="8143875" y="2335527"/>
            <a:ext cx="3201377" cy="902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baseline="0">
                <a:latin typeface="Arial" pitchFamily="34" charset="0"/>
                <a:cs typeface="Arial" pitchFamily="34" charset="0"/>
              </a:rPr>
              <a:t>and their impacts on costs and revenues in </a:t>
            </a:r>
            <a:r>
              <a:rPr lang="en-US" sz="1400" b="1" u="sng">
                <a:solidFill>
                  <a:srgbClr val="0070C0"/>
                </a:solidFill>
                <a:latin typeface="Arial" pitchFamily="34" charset="0"/>
                <a:cs typeface="Arial" pitchFamily="34" charset="0"/>
              </a:rPr>
              <a:t>"Existing</a:t>
            </a:r>
            <a:r>
              <a:rPr lang="en-US" sz="1400" b="1" u="sng" baseline="0">
                <a:solidFill>
                  <a:srgbClr val="0070C0"/>
                </a:solidFill>
                <a:latin typeface="Arial" pitchFamily="34" charset="0"/>
                <a:cs typeface="Arial" pitchFamily="34" charset="0"/>
              </a:rPr>
              <a:t> Rates"</a:t>
            </a:r>
            <a:r>
              <a:rPr lang="en-US" sz="1400" b="0" baseline="0">
                <a:latin typeface="Arial" pitchFamily="34" charset="0"/>
                <a:cs typeface="Arial" pitchFamily="34" charset="0"/>
              </a:rPr>
              <a:t> </a:t>
            </a:r>
          </a:p>
        </xdr:txBody>
      </xdr:sp>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000-000037000000}"/>
              </a:ext>
            </a:extLst>
          </xdr:cNvPr>
          <xdr:cNvSpPr txBox="1"/>
        </xdr:nvSpPr>
        <xdr:spPr>
          <a:xfrm>
            <a:off x="8504848" y="2799612"/>
            <a:ext cx="2487002" cy="315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0" u="none" baseline="0">
                <a:solidFill>
                  <a:sysClr val="windowText" lastClr="000000"/>
                </a:solidFill>
                <a:latin typeface="Arial" pitchFamily="34" charset="0"/>
                <a:cs typeface="Arial" pitchFamily="34" charset="0"/>
              </a:rPr>
              <a:t>or </a:t>
            </a:r>
            <a:r>
              <a:rPr lang="en-US" sz="1400" b="1" u="sng" baseline="0">
                <a:solidFill>
                  <a:srgbClr val="0070C0"/>
                </a:solidFill>
                <a:latin typeface="Arial" pitchFamily="34" charset="0"/>
                <a:cs typeface="Arial" pitchFamily="34" charset="0"/>
              </a:rPr>
              <a:t>"New Rates"</a:t>
            </a:r>
            <a:r>
              <a:rPr lang="en-US" sz="1400" b="0" baseline="0">
                <a:latin typeface="Arial" pitchFamily="34" charset="0"/>
                <a:cs typeface="Arial" pitchFamily="34" charset="0"/>
              </a:rPr>
              <a:t> .</a:t>
            </a:r>
          </a:p>
        </xdr:txBody>
      </xdr:sp>
      <xdr:sp macro="" textlink="">
        <xdr:nvSpPr>
          <xdr:cNvPr id="35" name="TextBox 34">
            <a:hlinkClick xmlns:r="http://schemas.openxmlformats.org/officeDocument/2006/relationships" r:id="rId12"/>
            <a:extLst>
              <a:ext uri="{FF2B5EF4-FFF2-40B4-BE49-F238E27FC236}">
                <a16:creationId xmlns:a16="http://schemas.microsoft.com/office/drawing/2014/main" id="{00000000-0008-0000-0000-000023000000}"/>
              </a:ext>
            </a:extLst>
          </xdr:cNvPr>
          <xdr:cNvSpPr txBox="1"/>
        </xdr:nvSpPr>
        <xdr:spPr>
          <a:xfrm>
            <a:off x="8305800" y="1924050"/>
            <a:ext cx="3201377"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a:latin typeface="Arial" pitchFamily="34" charset="0"/>
                <a:cs typeface="Arial" pitchFamily="34" charset="0"/>
              </a:rPr>
              <a:t>5) Compare new</a:t>
            </a:r>
            <a:r>
              <a:rPr lang="en-US" sz="1400" b="0" baseline="0">
                <a:latin typeface="Arial" pitchFamily="34" charset="0"/>
                <a:cs typeface="Arial" pitchFamily="34" charset="0"/>
              </a:rPr>
              <a:t> rates to existing rates in </a:t>
            </a:r>
            <a:r>
              <a:rPr lang="en-US" sz="1400" b="1" u="sng" baseline="0">
                <a:solidFill>
                  <a:srgbClr val="0070C0"/>
                </a:solidFill>
                <a:latin typeface="Arial" pitchFamily="34" charset="0"/>
                <a:cs typeface="Arial" pitchFamily="34" charset="0"/>
              </a:rPr>
              <a:t>"Compare Monthly Bills"</a:t>
            </a:r>
          </a:p>
        </xdr:txBody>
      </xdr:sp>
    </xdr:grpSp>
    <xdr:clientData/>
  </xdr:twoCellAnchor>
  <xdr:twoCellAnchor editAs="oneCell">
    <xdr:from>
      <xdr:col>13</xdr:col>
      <xdr:colOff>485775</xdr:colOff>
      <xdr:row>19</xdr:row>
      <xdr:rowOff>47644</xdr:rowOff>
    </xdr:from>
    <xdr:to>
      <xdr:col>17</xdr:col>
      <xdr:colOff>135255</xdr:colOff>
      <xdr:row>27</xdr:row>
      <xdr:rowOff>123359</xdr:rowOff>
    </xdr:to>
    <xdr:pic>
      <xdr:nvPicPr>
        <xdr:cNvPr id="38" name="Picture 37" descr="Screen Clippin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8162925" y="3124219"/>
          <a:ext cx="2011680" cy="1371115"/>
        </a:xfrm>
        <a:prstGeom prst="rect">
          <a:avLst/>
        </a:prstGeom>
      </xdr:spPr>
    </xdr:pic>
    <xdr:clientData/>
  </xdr:twoCellAnchor>
  <xdr:twoCellAnchor>
    <xdr:from>
      <xdr:col>2</xdr:col>
      <xdr:colOff>133350</xdr:colOff>
      <xdr:row>26</xdr:row>
      <xdr:rowOff>104775</xdr:rowOff>
    </xdr:from>
    <xdr:to>
      <xdr:col>3</xdr:col>
      <xdr:colOff>552450</xdr:colOff>
      <xdr:row>31</xdr:row>
      <xdr:rowOff>0</xdr:rowOff>
    </xdr:to>
    <xdr:cxnSp macro="">
      <xdr:nvCxnSpPr>
        <xdr:cNvPr id="33" name="Straight Arrow Connector 32">
          <a:extLst>
            <a:ext uri="{FF2B5EF4-FFF2-40B4-BE49-F238E27FC236}">
              <a16:creationId xmlns:a16="http://schemas.microsoft.com/office/drawing/2014/main" id="{00000000-0008-0000-0000-000021000000}"/>
            </a:ext>
          </a:extLst>
        </xdr:cNvPr>
        <xdr:cNvCxnSpPr/>
      </xdr:nvCxnSpPr>
      <xdr:spPr bwMode="auto">
        <a:xfrm flipH="1">
          <a:off x="1314450" y="4314825"/>
          <a:ext cx="1009650" cy="704850"/>
        </a:xfrm>
        <a:prstGeom prst="straightConnector1">
          <a:avLst/>
        </a:prstGeom>
        <a:ln>
          <a:headEnd type="none" w="med" len="med"/>
          <a:tailEnd type="arrow"/>
        </a:ln>
        <a:extLst/>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552450</xdr:colOff>
      <xdr:row>26</xdr:row>
      <xdr:rowOff>123825</xdr:rowOff>
    </xdr:from>
    <xdr:to>
      <xdr:col>6</xdr:col>
      <xdr:colOff>457200</xdr:colOff>
      <xdr:row>28</xdr:row>
      <xdr:rowOff>133350</xdr:rowOff>
    </xdr:to>
    <xdr:cxnSp macro="">
      <xdr:nvCxnSpPr>
        <xdr:cNvPr id="36" name="Straight Arrow Connector 35">
          <a:extLst>
            <a:ext uri="{FF2B5EF4-FFF2-40B4-BE49-F238E27FC236}">
              <a16:creationId xmlns:a16="http://schemas.microsoft.com/office/drawing/2014/main" id="{00000000-0008-0000-0000-000024000000}"/>
            </a:ext>
          </a:extLst>
        </xdr:cNvPr>
        <xdr:cNvCxnSpPr/>
      </xdr:nvCxnSpPr>
      <xdr:spPr bwMode="auto">
        <a:xfrm>
          <a:off x="2324100" y="4333875"/>
          <a:ext cx="1676400" cy="333375"/>
        </a:xfrm>
        <a:prstGeom prst="straightConnector1">
          <a:avLst/>
        </a:prstGeom>
        <a:ln>
          <a:headEnd type="none" w="med" len="med"/>
          <a:tailEnd type="arrow"/>
        </a:ln>
        <a:extLst/>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571500</xdr:colOff>
      <xdr:row>26</xdr:row>
      <xdr:rowOff>142875</xdr:rowOff>
    </xdr:from>
    <xdr:to>
      <xdr:col>6</xdr:col>
      <xdr:colOff>428625</xdr:colOff>
      <xdr:row>33</xdr:row>
      <xdr:rowOff>19050</xdr:rowOff>
    </xdr:to>
    <xdr:cxnSp macro="">
      <xdr:nvCxnSpPr>
        <xdr:cNvPr id="44" name="Straight Arrow Connector 43">
          <a:extLst>
            <a:ext uri="{FF2B5EF4-FFF2-40B4-BE49-F238E27FC236}">
              <a16:creationId xmlns:a16="http://schemas.microsoft.com/office/drawing/2014/main" id="{00000000-0008-0000-0000-00002C000000}"/>
            </a:ext>
          </a:extLst>
        </xdr:cNvPr>
        <xdr:cNvCxnSpPr/>
      </xdr:nvCxnSpPr>
      <xdr:spPr bwMode="auto">
        <a:xfrm>
          <a:off x="2343150" y="4352925"/>
          <a:ext cx="1628775" cy="1009650"/>
        </a:xfrm>
        <a:prstGeom prst="straightConnector1">
          <a:avLst/>
        </a:prstGeom>
        <a:ln>
          <a:headEnd type="none" w="med" len="med"/>
          <a:tailEnd type="arrow"/>
        </a:ln>
        <a:extLst/>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11</xdr:col>
      <xdr:colOff>552451</xdr:colOff>
      <xdr:row>31</xdr:row>
      <xdr:rowOff>104775</xdr:rowOff>
    </xdr:from>
    <xdr:to>
      <xdr:col>15</xdr:col>
      <xdr:colOff>552258</xdr:colOff>
      <xdr:row>41</xdr:row>
      <xdr:rowOff>57150</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b="6779"/>
        <a:stretch/>
      </xdr:blipFill>
      <xdr:spPr>
        <a:xfrm>
          <a:off x="7048501" y="5124450"/>
          <a:ext cx="2362007" cy="1571625"/>
        </a:xfrm>
        <a:prstGeom prst="rect">
          <a:avLst/>
        </a:prstGeom>
      </xdr:spPr>
    </xdr:pic>
    <xdr:clientData/>
  </xdr:twoCellAnchor>
  <xdr:twoCellAnchor>
    <xdr:from>
      <xdr:col>11</xdr:col>
      <xdr:colOff>361950</xdr:colOff>
      <xdr:row>32</xdr:row>
      <xdr:rowOff>84656</xdr:rowOff>
    </xdr:from>
    <xdr:to>
      <xdr:col>13</xdr:col>
      <xdr:colOff>28709</xdr:colOff>
      <xdr:row>36</xdr:row>
      <xdr:rowOff>66675</xdr:rowOff>
    </xdr:to>
    <xdr:cxnSp macro="">
      <xdr:nvCxnSpPr>
        <xdr:cNvPr id="59" name="Straight Arrow Connector 58">
          <a:extLst>
            <a:ext uri="{FF2B5EF4-FFF2-40B4-BE49-F238E27FC236}">
              <a16:creationId xmlns:a16="http://schemas.microsoft.com/office/drawing/2014/main" id="{00000000-0008-0000-0000-00003B000000}"/>
            </a:ext>
          </a:extLst>
        </xdr:cNvPr>
        <xdr:cNvCxnSpPr/>
      </xdr:nvCxnSpPr>
      <xdr:spPr bwMode="auto">
        <a:xfrm flipV="1">
          <a:off x="6858000" y="5266256"/>
          <a:ext cx="847859" cy="629719"/>
        </a:xfrm>
        <a:prstGeom prst="straightConnector1">
          <a:avLst/>
        </a:prstGeom>
        <a:ln>
          <a:headEnd type="none" w="med" len="med"/>
          <a:tailEnd type="arrow"/>
        </a:ln>
        <a:extLst/>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66674</xdr:colOff>
      <xdr:row>6</xdr:row>
      <xdr:rowOff>157161</xdr:rowOff>
    </xdr:from>
    <xdr:to>
      <xdr:col>8</xdr:col>
      <xdr:colOff>597477</xdr:colOff>
      <xdr:row>25</xdr:row>
      <xdr:rowOff>38099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26</xdr:row>
      <xdr:rowOff>95250</xdr:rowOff>
    </xdr:from>
    <xdr:to>
      <xdr:col>8</xdr:col>
      <xdr:colOff>606136</xdr:colOff>
      <xdr:row>44</xdr:row>
      <xdr:rowOff>138113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86591</xdr:colOff>
      <xdr:row>45</xdr:row>
      <xdr:rowOff>155864</xdr:rowOff>
    </xdr:from>
    <xdr:ext cx="7161068" cy="853786"/>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6591" y="7594889"/>
          <a:ext cx="7161068" cy="853786"/>
        </a:xfrm>
        <a:prstGeom prst="rect">
          <a:avLst/>
        </a:prstGeom>
        <a:solidFill>
          <a:srgbClr val="EAF1DD"/>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en-US" sz="1100" i="1">
              <a:solidFill>
                <a:srgbClr val="FF0000"/>
              </a:solidFill>
              <a:latin typeface="Arial" pitchFamily="34" charset="0"/>
              <a:cs typeface="Arial" pitchFamily="34" charset="0"/>
            </a:rPr>
            <a:t>This</a:t>
          </a:r>
          <a:r>
            <a:rPr lang="en-US" sz="1100" i="1" baseline="0">
              <a:solidFill>
                <a:srgbClr val="FF0000"/>
              </a:solidFill>
              <a:latin typeface="Arial" pitchFamily="34" charset="0"/>
              <a:cs typeface="Arial" pitchFamily="34" charset="0"/>
            </a:rPr>
            <a:t> tool is designed to assist utilities in modeling the potential cash-flow impacts of a change to their water and / or wastewater rates from a one-time change in rates. However, use of this tool by itself is not a substitute for a more detailed rates study, which should occur at least annually. D</a:t>
          </a:r>
          <a:r>
            <a:rPr lang="en-US" sz="1100" b="0" i="1" baseline="0">
              <a:solidFill>
                <a:srgbClr val="FF0000"/>
              </a:solidFill>
              <a:effectLst/>
              <a:latin typeface="Arial" panose="020B0604020202020204" pitchFamily="34" charset="0"/>
              <a:ea typeface="+mn-ea"/>
              <a:cs typeface="Arial" panose="020B0604020202020204" pitchFamily="34" charset="0"/>
            </a:rPr>
            <a:t>o not rely on analysis conducted more than one year ago. Update this tool and conduct a more thorough cost and revenue analysis </a:t>
          </a:r>
          <a:r>
            <a:rPr lang="en-US" sz="1100" b="1" i="1" baseline="0">
              <a:solidFill>
                <a:srgbClr val="FF0000"/>
              </a:solidFill>
              <a:effectLst/>
              <a:latin typeface="Arial" panose="020B0604020202020204" pitchFamily="34" charset="0"/>
              <a:ea typeface="+mn-ea"/>
              <a:cs typeface="Arial" panose="020B0604020202020204" pitchFamily="34" charset="0"/>
            </a:rPr>
            <a:t>every year</a:t>
          </a:r>
          <a:r>
            <a:rPr lang="en-US" sz="1100" b="0" i="1" baseline="0">
              <a:solidFill>
                <a:srgbClr val="FF0000"/>
              </a:solidFill>
              <a:effectLst/>
              <a:latin typeface="Arial" panose="020B0604020202020204" pitchFamily="34" charset="0"/>
              <a:ea typeface="+mn-ea"/>
              <a:cs typeface="Arial" panose="020B0604020202020204" pitchFamily="34" charset="0"/>
            </a:rPr>
            <a:t>.</a:t>
          </a:r>
          <a:endParaRPr lang="en-US" sz="1100">
            <a:solidFill>
              <a:srgbClr val="FF0000"/>
            </a:solidFill>
            <a:effectLst/>
            <a:latin typeface="Arial" panose="020B0604020202020204" pitchFamily="34" charset="0"/>
            <a:cs typeface="Arial" panose="020B0604020202020204" pitchFamily="34" charset="0"/>
          </a:endParaRPr>
        </a:p>
        <a:p>
          <a:pPr algn="l"/>
          <a:endParaRPr lang="en-US" sz="950" i="1">
            <a:solidFill>
              <a:srgbClr val="FF0000"/>
            </a:solidFill>
            <a:latin typeface="Arial" pitchFamily="34" charset="0"/>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276226</xdr:colOff>
      <xdr:row>6</xdr:row>
      <xdr:rowOff>28575</xdr:rowOff>
    </xdr:from>
    <xdr:to>
      <xdr:col>7</xdr:col>
      <xdr:colOff>443866</xdr:colOff>
      <xdr:row>22</xdr:row>
      <xdr:rowOff>120795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6</xdr:row>
      <xdr:rowOff>28575</xdr:rowOff>
    </xdr:from>
    <xdr:to>
      <xdr:col>15</xdr:col>
      <xdr:colOff>91440</xdr:colOff>
      <xdr:row>22</xdr:row>
      <xdr:rowOff>120795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31</xdr:row>
      <xdr:rowOff>180975</xdr:rowOff>
    </xdr:from>
    <xdr:to>
      <xdr:col>7</xdr:col>
      <xdr:colOff>424815</xdr:colOff>
      <xdr:row>48</xdr:row>
      <xdr:rowOff>73170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533400</xdr:colOff>
      <xdr:row>31</xdr:row>
      <xdr:rowOff>180975</xdr:rowOff>
    </xdr:from>
    <xdr:to>
      <xdr:col>15</xdr:col>
      <xdr:colOff>91440</xdr:colOff>
      <xdr:row>48</xdr:row>
      <xdr:rowOff>73170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323848</xdr:colOff>
      <xdr:row>137</xdr:row>
      <xdr:rowOff>152400</xdr:rowOff>
    </xdr:from>
    <xdr:to>
      <xdr:col>15</xdr:col>
      <xdr:colOff>49528</xdr:colOff>
      <xdr:row>154</xdr:row>
      <xdr:rowOff>44595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180974</xdr:colOff>
      <xdr:row>40</xdr:row>
      <xdr:rowOff>152399</xdr:rowOff>
    </xdr:from>
    <xdr:to>
      <xdr:col>4</xdr:col>
      <xdr:colOff>1485899</xdr:colOff>
      <xdr:row>49</xdr:row>
      <xdr:rowOff>123824</xdr:rowOff>
    </xdr:to>
    <xdr:sp macro="" textlink="">
      <xdr:nvSpPr>
        <xdr:cNvPr id="2" name="Up Arrow 1">
          <a:extLst>
            <a:ext uri="{FF2B5EF4-FFF2-40B4-BE49-F238E27FC236}">
              <a16:creationId xmlns:a16="http://schemas.microsoft.com/office/drawing/2014/main" id="{00000000-0008-0000-0700-000002000000}"/>
            </a:ext>
          </a:extLst>
        </xdr:cNvPr>
        <xdr:cNvSpPr/>
      </xdr:nvSpPr>
      <xdr:spPr>
        <a:xfrm rot="1090819">
          <a:off x="5991224" y="7772399"/>
          <a:ext cx="1304925" cy="16859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Put this number in  Water Block 1 volume</a:t>
          </a:r>
        </a:p>
      </xdr:txBody>
    </xdr:sp>
    <xdr:clientData/>
  </xdr:twoCellAnchor>
  <xdr:twoCellAnchor>
    <xdr:from>
      <xdr:col>5</xdr:col>
      <xdr:colOff>457200</xdr:colOff>
      <xdr:row>41</xdr:row>
      <xdr:rowOff>28575</xdr:rowOff>
    </xdr:from>
    <xdr:to>
      <xdr:col>6</xdr:col>
      <xdr:colOff>276225</xdr:colOff>
      <xdr:row>50</xdr:row>
      <xdr:rowOff>0</xdr:rowOff>
    </xdr:to>
    <xdr:sp macro="" textlink="">
      <xdr:nvSpPr>
        <xdr:cNvPr id="3" name="Up Arrow 2">
          <a:extLst>
            <a:ext uri="{FF2B5EF4-FFF2-40B4-BE49-F238E27FC236}">
              <a16:creationId xmlns:a16="http://schemas.microsoft.com/office/drawing/2014/main" id="{00000000-0008-0000-0700-000003000000}"/>
            </a:ext>
          </a:extLst>
        </xdr:cNvPr>
        <xdr:cNvSpPr/>
      </xdr:nvSpPr>
      <xdr:spPr>
        <a:xfrm rot="292106">
          <a:off x="7753350" y="7648575"/>
          <a:ext cx="1304925" cy="16859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Put this number in  Water Block 2 volume</a:t>
          </a:r>
        </a:p>
      </xdr:txBody>
    </xdr:sp>
    <xdr:clientData/>
  </xdr:twoCellAnchor>
  <xdr:twoCellAnchor>
    <xdr:from>
      <xdr:col>6</xdr:col>
      <xdr:colOff>866775</xdr:colOff>
      <xdr:row>41</xdr:row>
      <xdr:rowOff>9525</xdr:rowOff>
    </xdr:from>
    <xdr:to>
      <xdr:col>7</xdr:col>
      <xdr:colOff>685800</xdr:colOff>
      <xdr:row>49</xdr:row>
      <xdr:rowOff>171450</xdr:rowOff>
    </xdr:to>
    <xdr:sp macro="" textlink="">
      <xdr:nvSpPr>
        <xdr:cNvPr id="4" name="Up Arrow 3">
          <a:extLst>
            <a:ext uri="{FF2B5EF4-FFF2-40B4-BE49-F238E27FC236}">
              <a16:creationId xmlns:a16="http://schemas.microsoft.com/office/drawing/2014/main" id="{00000000-0008-0000-0700-000004000000}"/>
            </a:ext>
          </a:extLst>
        </xdr:cNvPr>
        <xdr:cNvSpPr/>
      </xdr:nvSpPr>
      <xdr:spPr>
        <a:xfrm rot="20826311">
          <a:off x="9648825" y="7629525"/>
          <a:ext cx="1362075" cy="16859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Put this number in  Final Water Block</a:t>
          </a:r>
        </a:p>
      </xdr:txBody>
    </xdr:sp>
    <xdr:clientData/>
  </xdr:twoCellAnchor>
  <xdr:twoCellAnchor>
    <xdr:from>
      <xdr:col>3</xdr:col>
      <xdr:colOff>1323975</xdr:colOff>
      <xdr:row>1</xdr:row>
      <xdr:rowOff>9525</xdr:rowOff>
    </xdr:from>
    <xdr:to>
      <xdr:col>4</xdr:col>
      <xdr:colOff>1343025</xdr:colOff>
      <xdr:row>9</xdr:row>
      <xdr:rowOff>180975</xdr:rowOff>
    </xdr:to>
    <xdr:sp macro="" textlink="">
      <xdr:nvSpPr>
        <xdr:cNvPr id="5" name="Down Arrow 4">
          <a:extLst>
            <a:ext uri="{FF2B5EF4-FFF2-40B4-BE49-F238E27FC236}">
              <a16:creationId xmlns:a16="http://schemas.microsoft.com/office/drawing/2014/main" id="{00000000-0008-0000-0700-000005000000}"/>
            </a:ext>
          </a:extLst>
        </xdr:cNvPr>
        <xdr:cNvSpPr/>
      </xdr:nvSpPr>
      <xdr:spPr>
        <a:xfrm rot="21250558">
          <a:off x="5648325" y="200025"/>
          <a:ext cx="1504950" cy="1695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Cannot exceed Block</a:t>
          </a:r>
          <a:r>
            <a:rPr lang="en-US" sz="1100" baseline="0"/>
            <a:t> 1 maximum (3,000 gallons)</a:t>
          </a:r>
          <a:endParaRPr lang="en-US" sz="1100"/>
        </a:p>
      </xdr:txBody>
    </xdr:sp>
    <xdr:clientData/>
  </xdr:twoCellAnchor>
  <xdr:twoCellAnchor>
    <xdr:from>
      <xdr:col>5</xdr:col>
      <xdr:colOff>123825</xdr:colOff>
      <xdr:row>0</xdr:row>
      <xdr:rowOff>0</xdr:rowOff>
    </xdr:from>
    <xdr:to>
      <xdr:col>6</xdr:col>
      <xdr:colOff>142875</xdr:colOff>
      <xdr:row>10</xdr:row>
      <xdr:rowOff>104775</xdr:rowOff>
    </xdr:to>
    <xdr:sp macro="" textlink="">
      <xdr:nvSpPr>
        <xdr:cNvPr id="6" name="Down Arrow 5">
          <a:extLst>
            <a:ext uri="{FF2B5EF4-FFF2-40B4-BE49-F238E27FC236}">
              <a16:creationId xmlns:a16="http://schemas.microsoft.com/office/drawing/2014/main" id="{00000000-0008-0000-0700-000006000000}"/>
            </a:ext>
          </a:extLst>
        </xdr:cNvPr>
        <xdr:cNvSpPr/>
      </xdr:nvSpPr>
      <xdr:spPr>
        <a:xfrm>
          <a:off x="7419975" y="0"/>
          <a:ext cx="1504950" cy="2009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Cannot exceed Block</a:t>
          </a:r>
          <a:r>
            <a:rPr lang="en-US" sz="1100" baseline="0"/>
            <a:t> 2 maximum  </a:t>
          </a:r>
          <a:r>
            <a:rPr lang="en-US" sz="1100" b="1" baseline="0"/>
            <a:t>MINUS</a:t>
          </a:r>
          <a:r>
            <a:rPr lang="en-US" sz="1100" baseline="0"/>
            <a:t> Block 1 maximum (5,000 gallons)</a:t>
          </a:r>
          <a:endParaRPr lang="en-US" sz="1100"/>
        </a:p>
      </xdr:txBody>
    </xdr:sp>
    <xdr:clientData/>
  </xdr:twoCellAnchor>
  <xdr:twoCellAnchor>
    <xdr:from>
      <xdr:col>6</xdr:col>
      <xdr:colOff>295274</xdr:colOff>
      <xdr:row>2</xdr:row>
      <xdr:rowOff>133349</xdr:rowOff>
    </xdr:from>
    <xdr:to>
      <xdr:col>7</xdr:col>
      <xdr:colOff>495299</xdr:colOff>
      <xdr:row>9</xdr:row>
      <xdr:rowOff>180974</xdr:rowOff>
    </xdr:to>
    <xdr:sp macro="" textlink="">
      <xdr:nvSpPr>
        <xdr:cNvPr id="7" name="Down Arrow 6">
          <a:extLst>
            <a:ext uri="{FF2B5EF4-FFF2-40B4-BE49-F238E27FC236}">
              <a16:creationId xmlns:a16="http://schemas.microsoft.com/office/drawing/2014/main" id="{00000000-0008-0000-0700-000007000000}"/>
            </a:ext>
          </a:extLst>
        </xdr:cNvPr>
        <xdr:cNvSpPr/>
      </xdr:nvSpPr>
      <xdr:spPr>
        <a:xfrm rot="465008">
          <a:off x="9077324" y="514349"/>
          <a:ext cx="1743075" cy="1381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All usage</a:t>
          </a:r>
          <a:r>
            <a:rPr lang="en-US" sz="1100" baseline="0"/>
            <a:t> above Block 2's maximum (no limit)</a:t>
          </a:r>
          <a:endParaRPr lang="en-US" sz="1100"/>
        </a:p>
      </xdr:txBody>
    </xdr:sp>
    <xdr:clientData/>
  </xdr:twoCellAnchor>
  <xdr:twoCellAnchor>
    <xdr:from>
      <xdr:col>0</xdr:col>
      <xdr:colOff>85725</xdr:colOff>
      <xdr:row>6</xdr:row>
      <xdr:rowOff>114300</xdr:rowOff>
    </xdr:from>
    <xdr:to>
      <xdr:col>3</xdr:col>
      <xdr:colOff>1447800</xdr:colOff>
      <xdr:row>8</xdr:row>
      <xdr:rowOff>114300</xdr:rowOff>
    </xdr:to>
    <xdr:sp macro="" textlink="">
      <xdr:nvSpPr>
        <xdr:cNvPr id="8" name="Left-Right Arrow 7">
          <a:extLst>
            <a:ext uri="{FF2B5EF4-FFF2-40B4-BE49-F238E27FC236}">
              <a16:creationId xmlns:a16="http://schemas.microsoft.com/office/drawing/2014/main" id="{00000000-0008-0000-0700-000008000000}"/>
            </a:ext>
          </a:extLst>
        </xdr:cNvPr>
        <xdr:cNvSpPr/>
      </xdr:nvSpPr>
      <xdr:spPr>
        <a:xfrm>
          <a:off x="85725" y="1257300"/>
          <a:ext cx="5686425" cy="381000"/>
        </a:xfrm>
        <a:prstGeom prst="leftRightArrow">
          <a:avLst/>
        </a:prstGeom>
        <a:solidFill>
          <a:schemeClr val="accent3">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b="1"/>
            <a:t>from</a:t>
          </a:r>
          <a:r>
            <a:rPr lang="en-US" sz="1100" b="1" baseline="0"/>
            <a:t> your billing records</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fc.sog.unc.edu/" TargetMode="External"/><Relationship Id="rId2" Type="http://schemas.openxmlformats.org/officeDocument/2006/relationships/hyperlink" Target="http://efc.sog.unc.edu/" TargetMode="External"/><Relationship Id="rId1" Type="http://schemas.openxmlformats.org/officeDocument/2006/relationships/hyperlink" Target="http://www.efc.unc.edu/" TargetMode="External"/><Relationship Id="rId5" Type="http://schemas.openxmlformats.org/officeDocument/2006/relationships/drawing" Target="../drawings/drawing1.xml"/><Relationship Id="rId4" Type="http://schemas.openxmlformats.org/officeDocument/2006/relationships/hyperlink" Target="mailto:eskaf@sog.unc.edu?subject=Feedback/question%20about%20the%20Water%20and%20Sewer%20Rates%20Analysis%20Mode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efc.sog.unc.edu/" TargetMode="External"/><Relationship Id="rId2" Type="http://schemas.openxmlformats.org/officeDocument/2006/relationships/hyperlink" Target="http://efc.sog.unc.edu/" TargetMode="External"/><Relationship Id="rId1" Type="http://schemas.openxmlformats.org/officeDocument/2006/relationships/hyperlink" Target="http://www.efc.unc.ed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efc.sog.unc.edu/" TargetMode="External"/><Relationship Id="rId7" Type="http://schemas.openxmlformats.org/officeDocument/2006/relationships/comments" Target="../comments2.xml"/><Relationship Id="rId2" Type="http://schemas.openxmlformats.org/officeDocument/2006/relationships/hyperlink" Target="http://www.efc.unc.edu/" TargetMode="External"/><Relationship Id="rId1" Type="http://schemas.openxmlformats.org/officeDocument/2006/relationships/hyperlink" Target="http://www.efc.unc.edu/"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efc.sog.unc.ed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fc.sog.unc.edu/" TargetMode="External"/><Relationship Id="rId1" Type="http://schemas.openxmlformats.org/officeDocument/2006/relationships/hyperlink" Target="http://efc.sog.unc.edu/"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fc.sog.unc.edu/" TargetMode="External"/><Relationship Id="rId2" Type="http://schemas.openxmlformats.org/officeDocument/2006/relationships/hyperlink" Target="http://efc.sog.unc.edu/" TargetMode="External"/><Relationship Id="rId1" Type="http://schemas.openxmlformats.org/officeDocument/2006/relationships/hyperlink" Target="http://efc.sog.unc.edu/"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efc.sog.unc.edu/" TargetMode="External"/><Relationship Id="rId2" Type="http://schemas.openxmlformats.org/officeDocument/2006/relationships/hyperlink" Target="http://efc.sog.unc.edu/" TargetMode="External"/><Relationship Id="rId1" Type="http://schemas.openxmlformats.org/officeDocument/2006/relationships/hyperlink" Target="http://www.efc.unc.edu/"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efc.sog.unc.edu/" TargetMode="External"/><Relationship Id="rId2" Type="http://schemas.openxmlformats.org/officeDocument/2006/relationships/hyperlink" Target="http://efc.sog.unc.edu/" TargetMode="External"/><Relationship Id="rId1" Type="http://schemas.openxmlformats.org/officeDocument/2006/relationships/hyperlink" Target="http://www.efc.unc.edu/"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5:Y49"/>
  <sheetViews>
    <sheetView tabSelected="1" workbookViewId="0"/>
  </sheetViews>
  <sheetFormatPr defaultColWidth="8.85546875" defaultRowHeight="12.75" x14ac:dyDescent="0.2"/>
  <cols>
    <col min="1" max="16384" width="8.85546875" style="1"/>
  </cols>
  <sheetData>
    <row r="45" spans="1:25" x14ac:dyDescent="0.2">
      <c r="A45" s="273" t="s">
        <v>130</v>
      </c>
      <c r="B45" s="273"/>
      <c r="C45" s="273"/>
      <c r="D45" s="273"/>
      <c r="E45" s="273"/>
      <c r="F45" s="273"/>
      <c r="G45" s="273"/>
      <c r="H45" s="273"/>
      <c r="I45" s="273"/>
      <c r="J45" s="273"/>
      <c r="K45" s="273"/>
      <c r="L45" s="273"/>
      <c r="M45" s="273"/>
      <c r="N45" s="273"/>
      <c r="O45" s="273"/>
      <c r="P45" s="273"/>
      <c r="Q45" s="273"/>
      <c r="R45" s="273"/>
      <c r="S45" s="273"/>
      <c r="T45" s="74"/>
      <c r="U45" s="74"/>
      <c r="V45" s="74"/>
      <c r="W45" s="74"/>
      <c r="X45" s="74"/>
      <c r="Y45" s="74"/>
    </row>
    <row r="46" spans="1:25" x14ac:dyDescent="0.2">
      <c r="A46" s="273" t="s">
        <v>97</v>
      </c>
      <c r="B46" s="273"/>
      <c r="C46" s="273"/>
      <c r="D46" s="273"/>
      <c r="E46" s="273"/>
      <c r="F46" s="273"/>
      <c r="G46" s="273"/>
      <c r="H46" s="273"/>
      <c r="I46" s="273"/>
      <c r="J46" s="273"/>
      <c r="K46" s="273"/>
      <c r="L46" s="273"/>
      <c r="M46" s="273"/>
      <c r="N46" s="273"/>
      <c r="O46" s="273"/>
      <c r="P46" s="273"/>
      <c r="Q46" s="273"/>
      <c r="R46" s="273"/>
      <c r="S46" s="273"/>
      <c r="T46" s="74"/>
      <c r="U46" s="74"/>
      <c r="V46" s="74"/>
      <c r="W46" s="74"/>
      <c r="X46" s="74"/>
      <c r="Y46" s="74"/>
    </row>
    <row r="47" spans="1:25" x14ac:dyDescent="0.2">
      <c r="A47" s="274" t="s">
        <v>120</v>
      </c>
      <c r="B47" s="274"/>
      <c r="C47" s="274"/>
      <c r="D47" s="274"/>
      <c r="E47" s="274"/>
      <c r="F47" s="274"/>
      <c r="G47" s="274"/>
      <c r="H47" s="274"/>
      <c r="I47" s="274"/>
      <c r="J47" s="274"/>
      <c r="K47" s="274"/>
      <c r="L47" s="274"/>
      <c r="M47" s="274"/>
      <c r="N47" s="274"/>
      <c r="O47" s="274"/>
      <c r="P47" s="274"/>
      <c r="Q47" s="274"/>
      <c r="R47" s="274"/>
      <c r="S47" s="274"/>
    </row>
    <row r="48" spans="1:25" ht="5.25" customHeight="1" x14ac:dyDescent="0.2">
      <c r="A48" s="249"/>
      <c r="B48" s="249"/>
      <c r="C48" s="249"/>
      <c r="D48" s="249"/>
      <c r="E48" s="249"/>
      <c r="F48" s="249"/>
      <c r="G48" s="249"/>
      <c r="H48" s="249"/>
      <c r="I48" s="249"/>
      <c r="J48" s="249"/>
      <c r="K48" s="249"/>
      <c r="L48" s="249"/>
      <c r="M48" s="249"/>
      <c r="N48" s="249"/>
      <c r="O48" s="249"/>
      <c r="P48" s="249"/>
      <c r="Q48" s="249"/>
      <c r="R48" s="249"/>
      <c r="S48" s="249"/>
    </row>
    <row r="49" spans="1:19" x14ac:dyDescent="0.2">
      <c r="A49" s="274" t="s">
        <v>177</v>
      </c>
      <c r="B49" s="274"/>
      <c r="C49" s="274"/>
      <c r="D49" s="274"/>
      <c r="E49" s="274"/>
      <c r="F49" s="274"/>
      <c r="G49" s="274"/>
      <c r="H49" s="274"/>
      <c r="I49" s="274"/>
      <c r="J49" s="274"/>
      <c r="K49" s="274"/>
      <c r="L49" s="274"/>
      <c r="M49" s="274"/>
      <c r="N49" s="274"/>
      <c r="O49" s="274"/>
      <c r="P49" s="274"/>
      <c r="Q49" s="274"/>
      <c r="R49" s="274"/>
      <c r="S49" s="274"/>
    </row>
  </sheetData>
  <sheetProtection password="EB90" sheet="1" objects="1" scenarios="1"/>
  <mergeCells count="4">
    <mergeCell ref="A45:S45"/>
    <mergeCell ref="A46:S46"/>
    <mergeCell ref="A47:S47"/>
    <mergeCell ref="A49:S49"/>
  </mergeCells>
  <hyperlinks>
    <hyperlink ref="A45:J45" r:id="rId1" display="Copyright © 2012 Environmental Finance Center at The University of North Carolina, Chapel Hill. www.efc.unc.edu" xr:uid="{00000000-0004-0000-0000-000000000000}"/>
    <hyperlink ref="A45:S45" r:id="rId2" display="Copyright © 2013 Environmental Finance Center at the University of North Carolina, Chapel Hill. efc.sog.unc.edu" xr:uid="{00000000-0004-0000-0000-000001000000}"/>
    <hyperlink ref="A47:S47" r:id="rId3" display="Download an updated version of this tool at http://efc.sog.unc.edu. Find it in Resources / Tools." xr:uid="{00000000-0004-0000-0000-000002000000}"/>
    <hyperlink ref="A49:S49" r:id="rId4" display="Provide feedback or ask questions by emailing Shadi Eskaf at eskaf@sog.unc.edu" xr:uid="{00000000-0004-0000-0000-000003000000}"/>
  </hyperlinks>
  <pageMargins left="0.7" right="0.7" top="0.75" bottom="0.75" header="0.3" footer="0.3"/>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sheetPr>
  <dimension ref="A1:U44"/>
  <sheetViews>
    <sheetView workbookViewId="0">
      <selection activeCell="F6" sqref="F6"/>
    </sheetView>
  </sheetViews>
  <sheetFormatPr defaultColWidth="8.85546875" defaultRowHeight="12.75" x14ac:dyDescent="0.2"/>
  <cols>
    <col min="1" max="1" width="26.140625" style="1" bestFit="1" customWidth="1"/>
    <col min="2" max="2" width="8.140625" style="1" customWidth="1"/>
    <col min="3" max="3" width="6.42578125" style="1" bestFit="1" customWidth="1"/>
    <col min="4" max="4" width="7.85546875" style="1" bestFit="1" customWidth="1"/>
    <col min="5" max="5" width="6.42578125" style="1" bestFit="1" customWidth="1"/>
    <col min="6" max="7" width="10.7109375" style="1" customWidth="1"/>
    <col min="8" max="8" width="4.42578125" style="1" customWidth="1"/>
    <col min="9" max="9" width="26.140625" style="1" bestFit="1" customWidth="1"/>
    <col min="10" max="10" width="8.85546875" style="1"/>
    <col min="11" max="11" width="6.42578125" style="1" bestFit="1" customWidth="1"/>
    <col min="12" max="12" width="8.85546875" style="1"/>
    <col min="13" max="13" width="6.42578125" style="1" bestFit="1" customWidth="1"/>
    <col min="14" max="14" width="10.7109375" style="1" customWidth="1"/>
    <col min="15" max="15" width="11.28515625" style="1" customWidth="1"/>
    <col min="16" max="16" width="2.140625" style="1" customWidth="1"/>
    <col min="17" max="17" width="13.140625" style="1" bestFit="1" customWidth="1"/>
    <col min="18" max="18" width="18.85546875" style="1" bestFit="1" customWidth="1"/>
    <col min="19" max="19" width="3.85546875" style="1" bestFit="1" customWidth="1"/>
    <col min="20" max="20" width="11.5703125" style="1" bestFit="1" customWidth="1"/>
    <col min="21" max="21" width="13.42578125" style="1" bestFit="1" customWidth="1"/>
    <col min="22" max="16384" width="8.85546875" style="1"/>
  </cols>
  <sheetData>
    <row r="1" spans="1:21" ht="18.75" thickBot="1" x14ac:dyDescent="0.3">
      <c r="A1" s="275" t="s">
        <v>119</v>
      </c>
      <c r="B1" s="275"/>
      <c r="C1" s="275"/>
      <c r="D1" s="275"/>
      <c r="E1" s="275"/>
      <c r="F1" s="275"/>
      <c r="G1" s="275"/>
      <c r="I1" s="276" t="s">
        <v>37</v>
      </c>
      <c r="J1" s="276"/>
      <c r="K1" s="276"/>
      <c r="L1" s="276"/>
      <c r="M1" s="276"/>
      <c r="N1" s="276"/>
      <c r="O1" s="276"/>
    </row>
    <row r="2" spans="1:21" ht="16.5" customHeight="1" thickBot="1" x14ac:dyDescent="0.3">
      <c r="A2" s="278"/>
      <c r="B2" s="278"/>
      <c r="C2" s="278"/>
      <c r="D2" s="278"/>
      <c r="E2" s="278"/>
      <c r="F2" s="278"/>
      <c r="G2" s="278"/>
      <c r="I2" s="34" t="s">
        <v>33</v>
      </c>
      <c r="J2" s="35" t="s">
        <v>32</v>
      </c>
      <c r="K2" s="36"/>
      <c r="L2" s="36"/>
      <c r="M2" s="36"/>
      <c r="N2" s="37"/>
      <c r="O2" s="38"/>
      <c r="Q2" s="280" t="s">
        <v>84</v>
      </c>
      <c r="R2" s="281"/>
      <c r="S2" s="281"/>
      <c r="T2" s="281"/>
      <c r="U2" s="282"/>
    </row>
    <row r="3" spans="1:21" ht="18" x14ac:dyDescent="0.25">
      <c r="A3" s="275" t="s">
        <v>79</v>
      </c>
      <c r="B3" s="275"/>
      <c r="C3" s="275"/>
      <c r="D3" s="275"/>
      <c r="E3" s="275"/>
      <c r="F3" s="275"/>
      <c r="G3" s="275"/>
      <c r="I3" s="39" t="s">
        <v>34</v>
      </c>
      <c r="J3" s="31" t="s">
        <v>100</v>
      </c>
      <c r="K3" s="33"/>
      <c r="L3" s="33"/>
      <c r="M3" s="33"/>
      <c r="N3" s="32"/>
      <c r="O3" s="40"/>
      <c r="Q3" s="291">
        <v>500</v>
      </c>
      <c r="R3" s="285" t="s">
        <v>81</v>
      </c>
      <c r="S3" s="283" t="s">
        <v>30</v>
      </c>
      <c r="T3" s="289">
        <f>ROUND(Q3*748/100,2)</f>
        <v>3740</v>
      </c>
      <c r="U3" s="287" t="s">
        <v>80</v>
      </c>
    </row>
    <row r="4" spans="1:21" ht="16.5" customHeight="1" thickBot="1" x14ac:dyDescent="0.3">
      <c r="A4" s="277" t="s">
        <v>68</v>
      </c>
      <c r="B4" s="277"/>
      <c r="C4" s="277"/>
      <c r="D4" s="277"/>
      <c r="E4" s="277"/>
      <c r="F4" s="277"/>
      <c r="G4" s="277"/>
      <c r="I4" s="41" t="s">
        <v>36</v>
      </c>
      <c r="J4" s="42" t="s">
        <v>35</v>
      </c>
      <c r="K4" s="43"/>
      <c r="L4" s="43"/>
      <c r="M4" s="43"/>
      <c r="N4" s="44"/>
      <c r="O4" s="45"/>
      <c r="Q4" s="292"/>
      <c r="R4" s="286"/>
      <c r="S4" s="284"/>
      <c r="T4" s="290"/>
      <c r="U4" s="288"/>
    </row>
    <row r="5" spans="1:21" ht="13.5" thickBot="1" x14ac:dyDescent="0.25">
      <c r="A5" s="277"/>
      <c r="B5" s="277"/>
      <c r="C5" s="277"/>
      <c r="D5" s="277"/>
      <c r="E5" s="277"/>
      <c r="F5" s="277"/>
      <c r="G5" s="277"/>
      <c r="Q5" s="77"/>
      <c r="R5" s="77"/>
      <c r="S5" s="77"/>
      <c r="T5" s="77"/>
      <c r="U5" s="77"/>
    </row>
    <row r="6" spans="1:21" ht="16.5" thickBot="1" x14ac:dyDescent="0.3">
      <c r="A6" s="22" t="s">
        <v>17</v>
      </c>
      <c r="B6" s="23"/>
      <c r="C6" s="23"/>
      <c r="D6" s="23"/>
      <c r="E6" s="47" t="s">
        <v>57</v>
      </c>
      <c r="F6" s="79">
        <v>2014</v>
      </c>
      <c r="G6" s="25">
        <f>F6+1</f>
        <v>2015</v>
      </c>
      <c r="I6" s="22" t="s">
        <v>17</v>
      </c>
      <c r="J6" s="23"/>
      <c r="K6" s="23"/>
      <c r="L6" s="23"/>
      <c r="M6" s="23"/>
      <c r="N6" s="24">
        <f>F6</f>
        <v>2014</v>
      </c>
      <c r="O6" s="25">
        <f>G6</f>
        <v>2015</v>
      </c>
      <c r="Q6" s="293" t="s">
        <v>85</v>
      </c>
      <c r="R6" s="294"/>
      <c r="S6" s="294"/>
      <c r="T6" s="294"/>
      <c r="U6" s="295"/>
    </row>
    <row r="7" spans="1:21" ht="15.75" customHeight="1" thickBot="1" x14ac:dyDescent="0.25">
      <c r="A7" s="55" t="s">
        <v>9</v>
      </c>
      <c r="B7" s="56"/>
      <c r="C7" s="56"/>
      <c r="D7" s="56"/>
      <c r="E7" s="56"/>
      <c r="F7" s="53" t="s">
        <v>11</v>
      </c>
      <c r="G7" s="54" t="s">
        <v>12</v>
      </c>
      <c r="I7" s="55" t="s">
        <v>10</v>
      </c>
      <c r="J7" s="56"/>
      <c r="K7" s="56"/>
      <c r="L7" s="56"/>
      <c r="M7" s="56"/>
      <c r="N7" s="53" t="s">
        <v>11</v>
      </c>
      <c r="O7" s="54" t="s">
        <v>12</v>
      </c>
      <c r="Q7" s="296">
        <v>1</v>
      </c>
      <c r="R7" s="298" t="s">
        <v>86</v>
      </c>
      <c r="S7" s="283" t="s">
        <v>30</v>
      </c>
      <c r="T7" s="300">
        <f>ROUND(Q7*1000/748,2)</f>
        <v>1.34</v>
      </c>
      <c r="U7" s="302" t="s">
        <v>87</v>
      </c>
    </row>
    <row r="8" spans="1:21" ht="13.5" thickBot="1" x14ac:dyDescent="0.25">
      <c r="A8" s="62" t="s">
        <v>4</v>
      </c>
      <c r="B8" s="5"/>
      <c r="C8" s="5"/>
      <c r="D8" s="5"/>
      <c r="E8" s="5"/>
      <c r="F8" s="80">
        <v>16</v>
      </c>
      <c r="G8" s="81">
        <v>20</v>
      </c>
      <c r="I8" s="52" t="s">
        <v>4</v>
      </c>
      <c r="J8" s="5"/>
      <c r="K8" s="5"/>
      <c r="L8" s="5"/>
      <c r="M8" s="5"/>
      <c r="N8" s="80">
        <v>25</v>
      </c>
      <c r="O8" s="81">
        <v>30</v>
      </c>
      <c r="Q8" s="297"/>
      <c r="R8" s="299"/>
      <c r="S8" s="284"/>
      <c r="T8" s="301"/>
      <c r="U8" s="303"/>
    </row>
    <row r="9" spans="1:21" x14ac:dyDescent="0.2">
      <c r="A9" s="65" t="s">
        <v>38</v>
      </c>
      <c r="B9" s="279" t="s">
        <v>18</v>
      </c>
      <c r="C9" s="279"/>
      <c r="D9" s="279" t="s">
        <v>19</v>
      </c>
      <c r="E9" s="279"/>
      <c r="F9" s="3"/>
      <c r="G9" s="4"/>
      <c r="I9" s="65" t="s">
        <v>38</v>
      </c>
      <c r="J9" s="279" t="s">
        <v>18</v>
      </c>
      <c r="K9" s="279"/>
      <c r="L9" s="279" t="s">
        <v>19</v>
      </c>
      <c r="M9" s="279"/>
      <c r="N9" s="3"/>
      <c r="O9" s="4"/>
    </row>
    <row r="10" spans="1:21" x14ac:dyDescent="0.2">
      <c r="A10" s="111" t="s">
        <v>39</v>
      </c>
      <c r="B10" s="84">
        <v>0</v>
      </c>
      <c r="C10" s="8" t="s">
        <v>20</v>
      </c>
      <c r="D10" s="84">
        <v>3000</v>
      </c>
      <c r="E10" s="9" t="s">
        <v>20</v>
      </c>
      <c r="F10" s="82">
        <v>2</v>
      </c>
      <c r="G10" s="83">
        <v>1.75</v>
      </c>
      <c r="I10" s="111" t="s">
        <v>39</v>
      </c>
      <c r="J10" s="84">
        <v>0</v>
      </c>
      <c r="K10" s="8" t="s">
        <v>20</v>
      </c>
      <c r="L10" s="84">
        <v>10000</v>
      </c>
      <c r="M10" s="9" t="s">
        <v>20</v>
      </c>
      <c r="N10" s="82">
        <v>2</v>
      </c>
      <c r="O10" s="83">
        <v>1.25</v>
      </c>
      <c r="Q10" s="76" t="s">
        <v>99</v>
      </c>
    </row>
    <row r="11" spans="1:21" x14ac:dyDescent="0.2">
      <c r="A11" s="46" t="s">
        <v>40</v>
      </c>
      <c r="B11" s="10">
        <f>IF(D11=0,0,IF(D10&gt;0,D10+1,0))</f>
        <v>3001</v>
      </c>
      <c r="C11" s="8" t="s">
        <v>20</v>
      </c>
      <c r="D11" s="84">
        <v>8000</v>
      </c>
      <c r="E11" s="8" t="s">
        <v>20</v>
      </c>
      <c r="F11" s="82">
        <v>2</v>
      </c>
      <c r="G11" s="83">
        <v>2.25</v>
      </c>
      <c r="I11" s="46" t="s">
        <v>40</v>
      </c>
      <c r="J11" s="10">
        <f>IF(L11=0,0,IF(L10&gt;0,L10+1,0))</f>
        <v>10001</v>
      </c>
      <c r="K11" s="8" t="s">
        <v>20</v>
      </c>
      <c r="L11" s="84">
        <v>15000</v>
      </c>
      <c r="M11" s="8" t="s">
        <v>20</v>
      </c>
      <c r="N11" s="82">
        <v>2</v>
      </c>
      <c r="O11" s="83">
        <v>1.75</v>
      </c>
      <c r="Q11" s="76" t="s">
        <v>88</v>
      </c>
    </row>
    <row r="12" spans="1:21" x14ac:dyDescent="0.2">
      <c r="A12" s="46" t="s">
        <v>41</v>
      </c>
      <c r="B12" s="10">
        <f>IF(D12=0,0,IF(D11&gt;0,D11+1,0))</f>
        <v>0</v>
      </c>
      <c r="C12" s="8" t="s">
        <v>20</v>
      </c>
      <c r="D12" s="84">
        <v>0</v>
      </c>
      <c r="E12" s="8" t="s">
        <v>20</v>
      </c>
      <c r="F12" s="82"/>
      <c r="G12" s="83"/>
      <c r="I12" s="46" t="s">
        <v>41</v>
      </c>
      <c r="J12" s="10">
        <f>IF(L12=0,0,IF(L11&gt;0,L11+1,0))</f>
        <v>15001</v>
      </c>
      <c r="K12" s="8" t="s">
        <v>20</v>
      </c>
      <c r="L12" s="84">
        <v>50000</v>
      </c>
      <c r="M12" s="8" t="s">
        <v>20</v>
      </c>
      <c r="N12" s="82">
        <v>2</v>
      </c>
      <c r="O12" s="83">
        <v>3</v>
      </c>
      <c r="Q12" s="76" t="s">
        <v>89</v>
      </c>
    </row>
    <row r="13" spans="1:21" x14ac:dyDescent="0.2">
      <c r="A13" s="46" t="s">
        <v>42</v>
      </c>
      <c r="B13" s="10">
        <f>IF(D13=0,0,IF(D12&gt;0,D12+1,0))</f>
        <v>0</v>
      </c>
      <c r="C13" s="8" t="s">
        <v>20</v>
      </c>
      <c r="D13" s="84">
        <v>0</v>
      </c>
      <c r="E13" s="8" t="s">
        <v>20</v>
      </c>
      <c r="F13" s="82"/>
      <c r="G13" s="83"/>
      <c r="I13" s="46" t="s">
        <v>42</v>
      </c>
      <c r="J13" s="10">
        <f>IF(L13=0,0,IF(L12&gt;0,L12+1,0))</f>
        <v>0</v>
      </c>
      <c r="K13" s="8" t="s">
        <v>20</v>
      </c>
      <c r="L13" s="84"/>
      <c r="M13" s="8" t="s">
        <v>20</v>
      </c>
      <c r="N13" s="82"/>
      <c r="O13" s="83"/>
    </row>
    <row r="14" spans="1:21" x14ac:dyDescent="0.2">
      <c r="A14" s="63" t="s">
        <v>70</v>
      </c>
      <c r="B14" s="10">
        <f>IF(D10=0,0,MAX(D10:D13)+1)</f>
        <v>8001</v>
      </c>
      <c r="C14" s="8" t="s">
        <v>20</v>
      </c>
      <c r="D14" s="64"/>
      <c r="E14" s="7"/>
      <c r="F14" s="82">
        <v>2</v>
      </c>
      <c r="G14" s="83">
        <v>4.25</v>
      </c>
      <c r="I14" s="63" t="s">
        <v>70</v>
      </c>
      <c r="J14" s="10">
        <f>IF(L10=0,0,MAX(L10:L13)+1)</f>
        <v>50001</v>
      </c>
      <c r="K14" s="7"/>
      <c r="L14" s="7"/>
      <c r="M14" s="8"/>
      <c r="N14" s="82">
        <v>2</v>
      </c>
      <c r="O14" s="83">
        <v>5.25</v>
      </c>
    </row>
    <row r="15" spans="1:21" x14ac:dyDescent="0.2">
      <c r="A15" s="2"/>
      <c r="B15" s="7"/>
      <c r="C15" s="7"/>
      <c r="D15" s="7"/>
      <c r="E15" s="7"/>
      <c r="F15" s="3"/>
      <c r="G15" s="4"/>
      <c r="I15" s="2"/>
      <c r="J15" s="7"/>
      <c r="K15" s="7"/>
      <c r="L15" s="7"/>
      <c r="M15" s="7"/>
      <c r="N15" s="3"/>
      <c r="O15" s="4"/>
    </row>
    <row r="16" spans="1:21" x14ac:dyDescent="0.2">
      <c r="A16" s="2" t="s">
        <v>5</v>
      </c>
      <c r="B16" s="7"/>
      <c r="C16" s="7"/>
      <c r="D16" s="7"/>
      <c r="E16" s="7"/>
      <c r="F16" s="82">
        <v>18</v>
      </c>
      <c r="G16" s="83">
        <v>22</v>
      </c>
      <c r="I16" s="2" t="s">
        <v>5</v>
      </c>
      <c r="J16" s="7"/>
      <c r="K16" s="7"/>
      <c r="L16" s="7"/>
      <c r="M16" s="7"/>
      <c r="N16" s="82">
        <v>27</v>
      </c>
      <c r="O16" s="83">
        <v>29</v>
      </c>
    </row>
    <row r="17" spans="1:15" x14ac:dyDescent="0.2">
      <c r="A17" s="65" t="s">
        <v>43</v>
      </c>
      <c r="B17" s="7"/>
      <c r="C17" s="7"/>
      <c r="D17" s="7"/>
      <c r="E17" s="7"/>
      <c r="F17" s="3"/>
      <c r="G17" s="4"/>
      <c r="I17" s="65" t="s">
        <v>43</v>
      </c>
      <c r="J17" s="7"/>
      <c r="K17" s="7"/>
      <c r="L17" s="7"/>
      <c r="M17" s="7"/>
      <c r="N17" s="3"/>
      <c r="O17" s="4"/>
    </row>
    <row r="18" spans="1:15" x14ac:dyDescent="0.2">
      <c r="A18" s="111" t="s">
        <v>39</v>
      </c>
      <c r="B18" s="84">
        <v>0</v>
      </c>
      <c r="C18" s="8" t="s">
        <v>20</v>
      </c>
      <c r="D18" s="84">
        <v>3000</v>
      </c>
      <c r="E18" s="9" t="s">
        <v>20</v>
      </c>
      <c r="F18" s="82">
        <v>2</v>
      </c>
      <c r="G18" s="83">
        <v>1.75</v>
      </c>
      <c r="I18" s="111" t="s">
        <v>39</v>
      </c>
      <c r="J18" s="84">
        <v>0</v>
      </c>
      <c r="K18" s="8" t="s">
        <v>20</v>
      </c>
      <c r="L18" s="84">
        <v>10000</v>
      </c>
      <c r="M18" s="9" t="s">
        <v>20</v>
      </c>
      <c r="N18" s="82">
        <v>2</v>
      </c>
      <c r="O18" s="83">
        <v>1.5</v>
      </c>
    </row>
    <row r="19" spans="1:15" x14ac:dyDescent="0.2">
      <c r="A19" s="46" t="s">
        <v>40</v>
      </c>
      <c r="B19" s="10">
        <f>IF(D19=0,0,IF(D18&gt;0,D18+1,0))</f>
        <v>3001</v>
      </c>
      <c r="C19" s="8" t="s">
        <v>20</v>
      </c>
      <c r="D19" s="84">
        <v>8000</v>
      </c>
      <c r="E19" s="8" t="s">
        <v>20</v>
      </c>
      <c r="F19" s="82">
        <v>2</v>
      </c>
      <c r="G19" s="83">
        <v>2.25</v>
      </c>
      <c r="I19" s="46" t="s">
        <v>40</v>
      </c>
      <c r="J19" s="10">
        <f>IF(L19=0,0,IF(L18&gt;0,L18+1,0))</f>
        <v>10001</v>
      </c>
      <c r="K19" s="8" t="s">
        <v>20</v>
      </c>
      <c r="L19" s="84">
        <v>15000</v>
      </c>
      <c r="M19" s="8" t="s">
        <v>20</v>
      </c>
      <c r="N19" s="82">
        <v>2</v>
      </c>
      <c r="O19" s="83">
        <v>2</v>
      </c>
    </row>
    <row r="20" spans="1:15" x14ac:dyDescent="0.2">
      <c r="A20" s="46" t="s">
        <v>41</v>
      </c>
      <c r="B20" s="10">
        <f>IF(D20=0,0,IF(D19&gt;0,D19+1,0))</f>
        <v>0</v>
      </c>
      <c r="C20" s="8" t="s">
        <v>20</v>
      </c>
      <c r="D20" s="84">
        <v>0</v>
      </c>
      <c r="E20" s="8" t="s">
        <v>20</v>
      </c>
      <c r="F20" s="82"/>
      <c r="G20" s="83"/>
      <c r="I20" s="46" t="s">
        <v>41</v>
      </c>
      <c r="J20" s="10">
        <f>IF(L20=0,0,IF(L19&gt;0,L19+1,0))</f>
        <v>15001</v>
      </c>
      <c r="K20" s="8" t="s">
        <v>20</v>
      </c>
      <c r="L20" s="84">
        <v>50000</v>
      </c>
      <c r="M20" s="8" t="s">
        <v>20</v>
      </c>
      <c r="N20" s="82">
        <v>2</v>
      </c>
      <c r="O20" s="83">
        <v>3.25</v>
      </c>
    </row>
    <row r="21" spans="1:15" x14ac:dyDescent="0.2">
      <c r="A21" s="46" t="s">
        <v>42</v>
      </c>
      <c r="B21" s="10">
        <f>IF(D21=0,0,IF(D20&gt;0,D20+1,0))</f>
        <v>0</v>
      </c>
      <c r="C21" s="8" t="s">
        <v>20</v>
      </c>
      <c r="D21" s="84">
        <v>0</v>
      </c>
      <c r="E21" s="8" t="s">
        <v>20</v>
      </c>
      <c r="F21" s="82"/>
      <c r="G21" s="83"/>
      <c r="I21" s="46" t="s">
        <v>42</v>
      </c>
      <c r="J21" s="10">
        <f>IF(L21=0,0,IF(L20&gt;0,L20+1,0))</f>
        <v>0</v>
      </c>
      <c r="K21" s="8" t="s">
        <v>20</v>
      </c>
      <c r="L21" s="84"/>
      <c r="M21" s="8" t="s">
        <v>20</v>
      </c>
      <c r="N21" s="82"/>
      <c r="O21" s="83"/>
    </row>
    <row r="22" spans="1:15" ht="13.5" thickBot="1" x14ac:dyDescent="0.25">
      <c r="A22" s="67" t="s">
        <v>70</v>
      </c>
      <c r="B22" s="11">
        <f>IF(D18=0,0,MAX(D18:D21)+1)</f>
        <v>8001</v>
      </c>
      <c r="C22" s="12" t="s">
        <v>20</v>
      </c>
      <c r="D22" s="66"/>
      <c r="E22" s="12"/>
      <c r="F22" s="85">
        <v>2</v>
      </c>
      <c r="G22" s="86">
        <v>4.25</v>
      </c>
      <c r="I22" s="67" t="s">
        <v>70</v>
      </c>
      <c r="J22" s="11">
        <f>IF(L18=0,0,MAX(L18:L21)+1)</f>
        <v>50001</v>
      </c>
      <c r="K22" s="12" t="s">
        <v>20</v>
      </c>
      <c r="L22" s="66"/>
      <c r="M22" s="12"/>
      <c r="N22" s="85">
        <v>2</v>
      </c>
      <c r="O22" s="86">
        <v>6</v>
      </c>
    </row>
    <row r="23" spans="1:15" x14ac:dyDescent="0.2">
      <c r="A23" s="2"/>
      <c r="B23" s="7"/>
      <c r="C23" s="7"/>
      <c r="D23" s="7"/>
      <c r="E23" s="7"/>
      <c r="F23" s="3"/>
      <c r="G23" s="13"/>
    </row>
    <row r="24" spans="1:15" ht="7.5" customHeight="1" thickBot="1" x14ac:dyDescent="0.25"/>
    <row r="25" spans="1:15" ht="15.75" x14ac:dyDescent="0.25">
      <c r="A25" s="22" t="s">
        <v>17</v>
      </c>
      <c r="B25" s="23"/>
      <c r="C25" s="23"/>
      <c r="D25" s="23"/>
      <c r="E25" s="23"/>
      <c r="F25" s="24">
        <f>F6</f>
        <v>2014</v>
      </c>
      <c r="G25" s="25">
        <f>G6</f>
        <v>2015</v>
      </c>
      <c r="I25" s="22" t="s">
        <v>28</v>
      </c>
      <c r="J25" s="23"/>
      <c r="K25" s="23"/>
      <c r="L25" s="23"/>
      <c r="M25" s="23"/>
      <c r="N25" s="24">
        <f>F6</f>
        <v>2014</v>
      </c>
      <c r="O25" s="25" t="s">
        <v>22</v>
      </c>
    </row>
    <row r="26" spans="1:15" ht="16.5" thickBot="1" x14ac:dyDescent="0.3">
      <c r="A26" s="55" t="s">
        <v>93</v>
      </c>
      <c r="B26" s="56"/>
      <c r="C26" s="56"/>
      <c r="D26" s="56"/>
      <c r="E26" s="56"/>
      <c r="F26" s="53" t="s">
        <v>11</v>
      </c>
      <c r="G26" s="54" t="s">
        <v>12</v>
      </c>
      <c r="I26" s="57" t="s">
        <v>29</v>
      </c>
      <c r="J26" s="56"/>
      <c r="K26" s="56"/>
      <c r="L26" s="56"/>
      <c r="M26" s="56"/>
      <c r="N26" s="53" t="s">
        <v>11</v>
      </c>
      <c r="O26" s="54" t="s">
        <v>103</v>
      </c>
    </row>
    <row r="27" spans="1:15" x14ac:dyDescent="0.2">
      <c r="A27" s="52" t="s">
        <v>21</v>
      </c>
      <c r="B27" s="5"/>
      <c r="C27" s="5"/>
      <c r="D27" s="5"/>
      <c r="E27" s="5"/>
      <c r="F27" s="80">
        <v>16</v>
      </c>
      <c r="G27" s="81">
        <v>20</v>
      </c>
      <c r="I27" s="58" t="s">
        <v>23</v>
      </c>
      <c r="J27" s="6"/>
      <c r="K27" s="6"/>
      <c r="L27" s="6"/>
      <c r="M27" s="59"/>
      <c r="N27" s="134">
        <v>1000</v>
      </c>
      <c r="O27" s="90">
        <v>0.01</v>
      </c>
    </row>
    <row r="28" spans="1:15" x14ac:dyDescent="0.2">
      <c r="A28" s="65" t="s">
        <v>44</v>
      </c>
      <c r="B28" s="279" t="s">
        <v>18</v>
      </c>
      <c r="C28" s="279"/>
      <c r="D28" s="279" t="s">
        <v>19</v>
      </c>
      <c r="E28" s="279"/>
      <c r="F28" s="3"/>
      <c r="G28" s="4"/>
      <c r="I28" s="30" t="s">
        <v>24</v>
      </c>
      <c r="J28" s="16"/>
      <c r="K28" s="16"/>
      <c r="L28" s="16"/>
      <c r="M28" s="17"/>
      <c r="N28" s="135">
        <v>800</v>
      </c>
      <c r="O28" s="89">
        <v>0.01</v>
      </c>
    </row>
    <row r="29" spans="1:15" x14ac:dyDescent="0.2">
      <c r="A29" s="111" t="s">
        <v>39</v>
      </c>
      <c r="B29" s="84">
        <v>0</v>
      </c>
      <c r="C29" s="8" t="s">
        <v>20</v>
      </c>
      <c r="D29" s="84">
        <v>0</v>
      </c>
      <c r="E29" s="9" t="s">
        <v>20</v>
      </c>
      <c r="F29" s="82">
        <v>3.5</v>
      </c>
      <c r="G29" s="83">
        <v>4.25</v>
      </c>
      <c r="I29" s="30"/>
      <c r="J29" s="16"/>
      <c r="K29" s="16"/>
      <c r="L29" s="16"/>
      <c r="M29" s="17"/>
      <c r="N29" s="136"/>
      <c r="O29" s="18"/>
    </row>
    <row r="30" spans="1:15" x14ac:dyDescent="0.2">
      <c r="A30" s="46" t="s">
        <v>40</v>
      </c>
      <c r="B30" s="10">
        <f>IF(D30=0,0,IF(D29&gt;0,D29+1,0))</f>
        <v>0</v>
      </c>
      <c r="C30" s="8" t="s">
        <v>20</v>
      </c>
      <c r="D30" s="84">
        <v>0</v>
      </c>
      <c r="E30" s="8" t="s">
        <v>20</v>
      </c>
      <c r="F30" s="82"/>
      <c r="G30" s="83"/>
      <c r="I30" s="30" t="s">
        <v>25</v>
      </c>
      <c r="J30" s="16"/>
      <c r="K30" s="16"/>
      <c r="L30" s="16"/>
      <c r="M30" s="17"/>
      <c r="N30" s="135">
        <v>200</v>
      </c>
      <c r="O30" s="89">
        <v>0</v>
      </c>
    </row>
    <row r="31" spans="1:15" x14ac:dyDescent="0.2">
      <c r="A31" s="46" t="s">
        <v>41</v>
      </c>
      <c r="B31" s="10">
        <f>IF(D31=0,0,IF(D30&gt;0,D30+1,0))</f>
        <v>0</v>
      </c>
      <c r="C31" s="8" t="s">
        <v>20</v>
      </c>
      <c r="D31" s="84">
        <v>0</v>
      </c>
      <c r="E31" s="8" t="s">
        <v>20</v>
      </c>
      <c r="F31" s="82"/>
      <c r="G31" s="83"/>
      <c r="I31" s="30" t="s">
        <v>26</v>
      </c>
      <c r="J31" s="16"/>
      <c r="K31" s="16"/>
      <c r="L31" s="16"/>
      <c r="M31" s="17"/>
      <c r="N31" s="135">
        <v>80</v>
      </c>
      <c r="O31" s="89">
        <v>0</v>
      </c>
    </row>
    <row r="32" spans="1:15" x14ac:dyDescent="0.2">
      <c r="A32" s="46" t="s">
        <v>42</v>
      </c>
      <c r="B32" s="10">
        <f>IF(D32=0,0,IF(D31&gt;0,D31+1,0))</f>
        <v>0</v>
      </c>
      <c r="C32" s="8" t="s">
        <v>20</v>
      </c>
      <c r="D32" s="84">
        <v>0</v>
      </c>
      <c r="E32" s="8" t="s">
        <v>20</v>
      </c>
      <c r="F32" s="82"/>
      <c r="G32" s="83"/>
      <c r="I32" s="30"/>
      <c r="J32" s="16"/>
      <c r="K32" s="16"/>
      <c r="L32" s="16"/>
      <c r="M32" s="17"/>
      <c r="N32" s="136"/>
      <c r="O32" s="18"/>
    </row>
    <row r="33" spans="1:19" ht="13.5" thickBot="1" x14ac:dyDescent="0.25">
      <c r="A33" s="67" t="s">
        <v>70</v>
      </c>
      <c r="B33" s="11">
        <f>IF(D29=0,0,MAX(D29:D32)+1)</f>
        <v>0</v>
      </c>
      <c r="C33" s="12" t="s">
        <v>20</v>
      </c>
      <c r="D33" s="66"/>
      <c r="E33" s="12"/>
      <c r="F33" s="87"/>
      <c r="G33" s="86"/>
      <c r="I33" s="67" t="s">
        <v>94</v>
      </c>
      <c r="J33" s="20"/>
      <c r="K33" s="20"/>
      <c r="L33" s="20"/>
      <c r="M33" s="21"/>
      <c r="N33" s="137">
        <v>50</v>
      </c>
      <c r="O33" s="88">
        <v>0.01</v>
      </c>
    </row>
    <row r="34" spans="1:19" x14ac:dyDescent="0.2">
      <c r="A34" s="7"/>
    </row>
    <row r="35" spans="1:19" ht="9" customHeight="1" thickBot="1" x14ac:dyDescent="0.25"/>
    <row r="36" spans="1:19" ht="15.75" x14ac:dyDescent="0.25">
      <c r="A36" s="304" t="s">
        <v>129</v>
      </c>
      <c r="B36" s="305"/>
      <c r="C36" s="305"/>
      <c r="D36" s="305"/>
      <c r="E36" s="305"/>
      <c r="F36" s="24">
        <f>F6</f>
        <v>2014</v>
      </c>
      <c r="G36" s="25">
        <f>G6</f>
        <v>2015</v>
      </c>
      <c r="I36" s="22" t="s">
        <v>3</v>
      </c>
      <c r="J36" s="23"/>
      <c r="K36" s="23"/>
      <c r="L36" s="23"/>
      <c r="M36" s="23"/>
      <c r="N36" s="25">
        <f>N6</f>
        <v>2014</v>
      </c>
    </row>
    <row r="37" spans="1:19" ht="13.5" thickBot="1" x14ac:dyDescent="0.25">
      <c r="A37" s="306"/>
      <c r="B37" s="307"/>
      <c r="C37" s="307"/>
      <c r="D37" s="307"/>
      <c r="E37" s="307"/>
      <c r="F37" s="53" t="s">
        <v>11</v>
      </c>
      <c r="G37" s="54" t="s">
        <v>12</v>
      </c>
      <c r="I37" s="55"/>
      <c r="J37" s="56"/>
      <c r="K37" s="56"/>
      <c r="L37" s="56"/>
      <c r="M37" s="56"/>
      <c r="N37" s="54" t="s">
        <v>11</v>
      </c>
    </row>
    <row r="38" spans="1:19" ht="14.25" customHeight="1" x14ac:dyDescent="0.2">
      <c r="A38" s="78" t="s">
        <v>90</v>
      </c>
      <c r="B38" s="93"/>
      <c r="C38" s="93"/>
      <c r="D38" s="93"/>
      <c r="E38" s="93"/>
      <c r="F38" s="126">
        <v>2000</v>
      </c>
      <c r="G38" s="127">
        <v>2400</v>
      </c>
      <c r="I38" s="58" t="s">
        <v>13</v>
      </c>
      <c r="J38" s="6"/>
      <c r="K38" s="6"/>
      <c r="L38" s="6"/>
      <c r="M38" s="6"/>
      <c r="N38" s="90">
        <v>0.02</v>
      </c>
      <c r="O38" s="112"/>
    </row>
    <row r="39" spans="1:19" ht="13.5" thickBot="1" x14ac:dyDescent="0.25">
      <c r="A39" s="63" t="s">
        <v>91</v>
      </c>
      <c r="B39" s="71"/>
      <c r="C39" s="71"/>
      <c r="D39" s="71"/>
      <c r="E39" s="71"/>
      <c r="F39" s="128">
        <v>500</v>
      </c>
      <c r="G39" s="129">
        <v>600</v>
      </c>
      <c r="I39" s="67"/>
      <c r="J39" s="20"/>
      <c r="K39" s="20"/>
      <c r="L39" s="20"/>
      <c r="M39" s="20"/>
      <c r="N39" s="248"/>
    </row>
    <row r="40" spans="1:19" ht="13.5" thickBot="1" x14ac:dyDescent="0.25">
      <c r="A40" s="67" t="s">
        <v>92</v>
      </c>
      <c r="B40" s="73"/>
      <c r="C40" s="73"/>
      <c r="D40" s="73"/>
      <c r="E40" s="73"/>
      <c r="F40" s="130">
        <v>2200</v>
      </c>
      <c r="G40" s="131">
        <v>2500</v>
      </c>
      <c r="I40" s="61"/>
    </row>
    <row r="41" spans="1:19" x14ac:dyDescent="0.2">
      <c r="K41" s="29"/>
    </row>
    <row r="42" spans="1:19" x14ac:dyDescent="0.2">
      <c r="A42" s="273" t="s">
        <v>130</v>
      </c>
      <c r="B42" s="273"/>
      <c r="C42" s="273"/>
      <c r="D42" s="273"/>
      <c r="E42" s="273"/>
      <c r="F42" s="273"/>
      <c r="G42" s="273"/>
      <c r="H42" s="273"/>
      <c r="I42" s="273"/>
      <c r="J42" s="273"/>
      <c r="K42" s="273"/>
      <c r="L42" s="273"/>
      <c r="M42" s="273"/>
      <c r="N42" s="273"/>
      <c r="O42" s="273"/>
      <c r="P42" s="74"/>
      <c r="Q42" s="74"/>
      <c r="R42" s="74"/>
      <c r="S42" s="74"/>
    </row>
    <row r="43" spans="1:19" x14ac:dyDescent="0.2">
      <c r="A43" s="273" t="s">
        <v>97</v>
      </c>
      <c r="B43" s="273"/>
      <c r="C43" s="273"/>
      <c r="D43" s="273"/>
      <c r="E43" s="273"/>
      <c r="F43" s="273"/>
      <c r="G43" s="273"/>
      <c r="H43" s="273"/>
      <c r="I43" s="273"/>
      <c r="J43" s="273"/>
      <c r="K43" s="273"/>
      <c r="L43" s="273"/>
      <c r="M43" s="273"/>
      <c r="N43" s="273"/>
      <c r="O43" s="273"/>
      <c r="P43" s="273"/>
    </row>
    <row r="44" spans="1:19" x14ac:dyDescent="0.2">
      <c r="A44" s="274" t="s">
        <v>120</v>
      </c>
      <c r="B44" s="274"/>
      <c r="C44" s="274"/>
      <c r="D44" s="274"/>
      <c r="E44" s="274"/>
      <c r="F44" s="274"/>
      <c r="G44" s="274"/>
      <c r="H44" s="274"/>
      <c r="I44" s="274"/>
      <c r="J44" s="274"/>
      <c r="K44" s="274"/>
      <c r="L44" s="274"/>
      <c r="M44" s="274"/>
      <c r="N44" s="274"/>
      <c r="O44" s="274"/>
      <c r="P44" s="119"/>
      <c r="Q44" s="119"/>
      <c r="R44" s="119"/>
      <c r="S44" s="119"/>
    </row>
  </sheetData>
  <sheetProtection password="EB90" sheet="1" objects="1" scenarios="1" selectLockedCells="1"/>
  <mergeCells count="27">
    <mergeCell ref="A44:O44"/>
    <mergeCell ref="A43:P43"/>
    <mergeCell ref="A3:G3"/>
    <mergeCell ref="Q6:U6"/>
    <mergeCell ref="Q7:Q8"/>
    <mergeCell ref="R7:R8"/>
    <mergeCell ref="S7:S8"/>
    <mergeCell ref="T7:T8"/>
    <mergeCell ref="U7:U8"/>
    <mergeCell ref="A42:O42"/>
    <mergeCell ref="A36:E37"/>
    <mergeCell ref="Q2:U2"/>
    <mergeCell ref="B9:C9"/>
    <mergeCell ref="D9:E9"/>
    <mergeCell ref="J9:K9"/>
    <mergeCell ref="L9:M9"/>
    <mergeCell ref="S3:S4"/>
    <mergeCell ref="R3:R4"/>
    <mergeCell ref="U3:U4"/>
    <mergeCell ref="T3:T4"/>
    <mergeCell ref="Q3:Q4"/>
    <mergeCell ref="A1:G1"/>
    <mergeCell ref="I1:O1"/>
    <mergeCell ref="A4:G5"/>
    <mergeCell ref="A2:G2"/>
    <mergeCell ref="B28:C28"/>
    <mergeCell ref="D28:E28"/>
  </mergeCells>
  <phoneticPr fontId="0" type="noConversion"/>
  <dataValidations xWindow="1149" yWindow="678" count="7">
    <dataValidation type="whole" allowBlank="1" showErrorMessage="1" error="Please input a fiscal year between 1900 and 2100." sqref="F6" xr:uid="{00000000-0002-0000-0100-000000000000}">
      <formula1>1900</formula1>
      <formula2>2100</formula2>
    </dataValidation>
    <dataValidation type="decimal" operator="greaterThanOrEqual" allowBlank="1" showErrorMessage="1" error="Please enter a positive number." sqref="F10:G14 N33 F18:G22 F27:G27 F29:G33 F16:G16 N8:O8 N10:O14 N16:O16 N18:O22 N27:N28 N30:N31 F8:G8 F38:G40" xr:uid="{00000000-0002-0000-0100-000001000000}">
      <formula1>0</formula1>
    </dataValidation>
    <dataValidation type="decimal" allowBlank="1" showInputMessage="1" showErrorMessage="1" error="Please input a positive percentage between 0% and 100%. Note that 0.50% must be typed in as &quot;0.005&quot; or &quot;0.5%.&quot; Entering &quot;0.5&quot; without the percent sign will yield a cell value of 50%." prompt="Please input a positive percentage between 0% and 100%. Note that 0.20% must be typed in as &quot;0.002&quot; or &quot;0.2%.&quot; Entering &quot;0.2&quot; without the percent sign will yield a cell value of 20%." sqref="N38" xr:uid="{00000000-0002-0000-0100-000002000000}">
      <formula1>0</formula1>
      <formula2>1</formula2>
    </dataValidation>
    <dataValidation type="decimal" allowBlank="1" showInputMessage="1" showErrorMessage="1" error="Please input a percentage between +100% and -100%. Note that 0.20% must be typed in as &quot;0.002&quot; or &quot;0.2%.&quot; Entering &quot;0.2&quot; without the percent sign will yield a cell value of 20%." prompt="Please input a percentage between +100% and -100%. Note that 0.20% must be typed in as &quot;0.002&quot; or &quot;0.2%.&quot; Entering &quot;0.2&quot; without the percent sign will yield a cell value of 20%." sqref="O27:O28 O30:O31 O33" xr:uid="{00000000-0002-0000-0100-000003000000}">
      <formula1>-1</formula1>
      <formula2>1</formula2>
    </dataValidation>
    <dataValidation type="decimal" operator="greaterThanOrEqual" allowBlank="1" showErrorMessage="1" error="Please input a positive number." sqref="Q3:Q4 Q7:Q8" xr:uid="{00000000-0002-0000-0100-000004000000}">
      <formula1>0</formula1>
    </dataValidation>
    <dataValidation type="whole" operator="greaterThanOrEqual" allowBlank="1" showErrorMessage="1" error="Please enter a positive number." sqref="L18:L21 D10:D13 L10:L13 D18:D21 D29:D33" xr:uid="{00000000-0002-0000-0100-000005000000}">
      <formula1>0</formula1>
    </dataValidation>
    <dataValidation type="whole" allowBlank="1" showErrorMessage="1" error="Please enter a positive number between 0 and the block end for block 1." sqref="B10 B18 J10 J18 B29" xr:uid="{00000000-0002-0000-0100-000006000000}">
      <formula1>0</formula1>
      <formula2>D10-1</formula2>
    </dataValidation>
  </dataValidations>
  <hyperlinks>
    <hyperlink ref="A42:J42" r:id="rId1" display="Copyright © 2012 Environmental Finance Center at The University of North Carolina, Chapel Hill. www.efc.unc.edu" xr:uid="{00000000-0004-0000-0100-000000000000}"/>
    <hyperlink ref="A42:O42" r:id="rId2" display="Copyright © 2014 Environmental Finance Center at the University of North Carolina, Chapel Hill. efc.sog.unc.edu" xr:uid="{00000000-0004-0000-0100-000001000000}"/>
    <hyperlink ref="A44:O44" r:id="rId3" display="Download an updated version of this tool at http://efc.sog.unc.edu. Find it in Resources / Tools." xr:uid="{00000000-0004-0000-0100-000002000000}"/>
  </hyperlinks>
  <pageMargins left="0.52" right="0.75" top="1.89" bottom="1" header="0.5" footer="0.5"/>
  <pageSetup scale="110" orientation="portrait" horizontalDpi="4294967293" r:id="rId4"/>
  <headerFooter alignWithMargins="0">
    <oddHeader xml:space="preserve">&amp;C&amp;"Arial,Bold"Water and Sewer Rate Analysis&amp;REnvironmental Finance Center&amp;12
&amp;10University of North Carolina
</oddHeader>
    <oddFooter xml:space="preserve">&amp;LElmar D. Kapfer
</oddFooter>
  </headerFooter>
  <legacyDrawing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Q47"/>
  <sheetViews>
    <sheetView workbookViewId="0">
      <selection activeCell="D11" sqref="D11"/>
    </sheetView>
  </sheetViews>
  <sheetFormatPr defaultColWidth="8.85546875" defaultRowHeight="12.75" x14ac:dyDescent="0.2"/>
  <cols>
    <col min="1" max="1" width="2" style="1" customWidth="1"/>
    <col min="2" max="2" width="28.7109375" style="1" customWidth="1"/>
    <col min="3" max="3" width="14" style="1" customWidth="1"/>
    <col min="4" max="4" width="17.42578125" style="1" customWidth="1"/>
    <col min="5" max="5" width="10.28515625" style="1" bestFit="1" customWidth="1"/>
    <col min="6" max="6" width="4" style="1" customWidth="1"/>
    <col min="7" max="9" width="8.85546875" style="1"/>
    <col min="10" max="10" width="31.85546875" style="1" customWidth="1"/>
    <col min="11" max="11" width="18.85546875" style="1" customWidth="1"/>
    <col min="12" max="12" width="4" style="1" customWidth="1"/>
    <col min="13" max="13" width="15.7109375" style="1" customWidth="1"/>
    <col min="14" max="14" width="13.140625" style="1" customWidth="1"/>
    <col min="15" max="15" width="3.85546875" style="1" bestFit="1" customWidth="1"/>
    <col min="16" max="16" width="15.7109375" style="1" customWidth="1"/>
    <col min="17" max="17" width="9.28515625" style="1" bestFit="1" customWidth="1"/>
    <col min="18" max="16384" width="8.85546875" style="1"/>
  </cols>
  <sheetData>
    <row r="1" spans="1:17" ht="18.75" thickBot="1" x14ac:dyDescent="0.3">
      <c r="B1" s="336" t="s">
        <v>119</v>
      </c>
      <c r="C1" s="336"/>
      <c r="D1" s="336"/>
      <c r="E1" s="336"/>
      <c r="F1" s="336"/>
      <c r="G1" s="336"/>
      <c r="H1" s="99"/>
      <c r="I1" s="276" t="s">
        <v>37</v>
      </c>
      <c r="J1" s="276"/>
      <c r="K1" s="276"/>
      <c r="L1" s="101"/>
      <c r="M1" s="101"/>
      <c r="N1" s="101"/>
      <c r="O1" s="101"/>
    </row>
    <row r="2" spans="1:17" ht="18.75" customHeight="1" thickBot="1" x14ac:dyDescent="0.3">
      <c r="B2" s="75"/>
      <c r="C2" s="75"/>
      <c r="D2" s="75"/>
      <c r="E2" s="75"/>
      <c r="F2" s="75"/>
      <c r="I2" s="34" t="s">
        <v>33</v>
      </c>
      <c r="J2" s="35" t="s">
        <v>32</v>
      </c>
      <c r="K2" s="107"/>
      <c r="L2" s="102"/>
      <c r="M2" s="280" t="s">
        <v>84</v>
      </c>
      <c r="N2" s="281"/>
      <c r="O2" s="281"/>
      <c r="P2" s="281"/>
      <c r="Q2" s="282"/>
    </row>
    <row r="3" spans="1:17" ht="18.75" thickBot="1" x14ac:dyDescent="0.3">
      <c r="B3" s="336" t="s">
        <v>78</v>
      </c>
      <c r="C3" s="336"/>
      <c r="D3" s="336"/>
      <c r="E3" s="336"/>
      <c r="F3" s="336"/>
      <c r="G3" s="336"/>
      <c r="H3" s="99"/>
      <c r="I3" s="108" t="s">
        <v>34</v>
      </c>
      <c r="J3" s="109" t="s">
        <v>100</v>
      </c>
      <c r="K3" s="110"/>
      <c r="L3" s="103"/>
      <c r="M3" s="328">
        <v>100000</v>
      </c>
      <c r="N3" s="330" t="s">
        <v>81</v>
      </c>
      <c r="O3" s="330" t="s">
        <v>30</v>
      </c>
      <c r="P3" s="332">
        <f>ROUND(M3*748/100,2)</f>
        <v>748000</v>
      </c>
      <c r="Q3" s="334" t="s">
        <v>80</v>
      </c>
    </row>
    <row r="4" spans="1:17" ht="18.75" thickBot="1" x14ac:dyDescent="0.3">
      <c r="A4" s="75"/>
      <c r="B4" s="75"/>
      <c r="C4" s="75"/>
      <c r="D4" s="75"/>
      <c r="E4" s="75"/>
      <c r="F4" s="75"/>
      <c r="G4" s="75"/>
      <c r="H4" s="75"/>
      <c r="I4" s="104"/>
      <c r="J4" s="105"/>
      <c r="K4" s="106"/>
      <c r="L4" s="100"/>
      <c r="M4" s="329"/>
      <c r="N4" s="331"/>
      <c r="O4" s="331"/>
      <c r="P4" s="333"/>
      <c r="Q4" s="335"/>
    </row>
    <row r="5" spans="1:17" ht="15.75" x14ac:dyDescent="0.25">
      <c r="A5" s="22" t="s">
        <v>49</v>
      </c>
      <c r="B5" s="23"/>
      <c r="C5" s="23"/>
      <c r="D5" s="24" t="str">
        <f>"During FY"&amp;'Data Input 1'!F6</f>
        <v>During FY2014</v>
      </c>
      <c r="E5" s="25"/>
      <c r="G5" s="22" t="s">
        <v>73</v>
      </c>
      <c r="H5" s="23"/>
      <c r="I5" s="23"/>
      <c r="J5" s="23"/>
      <c r="K5" s="25" t="str">
        <f>"FY"&amp;'Data Input 1'!F6</f>
        <v>FY2014</v>
      </c>
    </row>
    <row r="6" spans="1:17" ht="13.5" thickBot="1" x14ac:dyDescent="0.25">
      <c r="A6" s="26" t="s">
        <v>50</v>
      </c>
      <c r="B6" s="27"/>
      <c r="C6" s="27"/>
      <c r="D6" s="117" t="s">
        <v>11</v>
      </c>
      <c r="E6" s="28"/>
      <c r="G6" s="26"/>
      <c r="H6" s="27"/>
      <c r="I6" s="27"/>
      <c r="J6" s="27"/>
      <c r="K6" s="28"/>
    </row>
    <row r="7" spans="1:17" ht="13.5" thickBot="1" x14ac:dyDescent="0.25">
      <c r="A7" s="48"/>
      <c r="B7" s="95"/>
      <c r="C7" s="96" t="s">
        <v>101</v>
      </c>
      <c r="D7" s="98">
        <f>SUM(D11:D15,D24:D28,D37:D41)</f>
        <v>12239000</v>
      </c>
      <c r="E7" s="97" t="s">
        <v>58</v>
      </c>
      <c r="G7" s="68" t="str">
        <f>"Fund Balance at the Beginning of "&amp;K5</f>
        <v>Fund Balance at the Beginning of FY2014</v>
      </c>
      <c r="H7" s="20"/>
      <c r="I7" s="20"/>
      <c r="J7" s="20"/>
      <c r="K7" s="123">
        <v>1750000</v>
      </c>
    </row>
    <row r="8" spans="1:17" ht="13.5" thickBot="1" x14ac:dyDescent="0.25">
      <c r="A8" s="15"/>
      <c r="B8" s="113"/>
      <c r="C8" s="114" t="s">
        <v>127</v>
      </c>
      <c r="D8" s="98">
        <f>(SUM(D11:D15)+('Data Input 1'!$B$10*'Data Input 1'!$N$27))/'Data Input 1'!N27</f>
        <v>5500</v>
      </c>
      <c r="E8" s="115" t="s">
        <v>58</v>
      </c>
    </row>
    <row r="9" spans="1:17" ht="15.75" x14ac:dyDescent="0.25">
      <c r="A9" s="309" t="s">
        <v>175</v>
      </c>
      <c r="B9" s="310"/>
      <c r="C9" s="310"/>
      <c r="D9" s="310"/>
      <c r="E9" s="311"/>
      <c r="G9" s="22" t="s">
        <v>122</v>
      </c>
      <c r="H9" s="23"/>
      <c r="I9" s="23"/>
      <c r="J9" s="23"/>
      <c r="K9" s="25" t="str">
        <f>D5</f>
        <v>During FY2014</v>
      </c>
      <c r="M9" s="314" t="s">
        <v>134</v>
      </c>
      <c r="N9" s="315"/>
    </row>
    <row r="10" spans="1:17" ht="13.5" thickBot="1" x14ac:dyDescent="0.25">
      <c r="A10" s="72" t="str">
        <f>"Residential " &amp;IF('Data Input 1'!B10&gt;0,"(excluding consumption allowance)","")</f>
        <v xml:space="preserve">Residential </v>
      </c>
      <c r="B10" s="16"/>
      <c r="C10" s="16"/>
      <c r="D10" s="16"/>
      <c r="E10" s="18"/>
      <c r="G10" s="26" t="s">
        <v>59</v>
      </c>
      <c r="H10" s="27"/>
      <c r="I10" s="27"/>
      <c r="J10" s="27"/>
      <c r="K10" s="28" t="s">
        <v>11</v>
      </c>
      <c r="M10" s="316"/>
      <c r="N10" s="317"/>
    </row>
    <row r="11" spans="1:17" ht="12.75" customHeight="1" x14ac:dyDescent="0.2">
      <c r="A11" s="15"/>
      <c r="B11" s="49" t="str">
        <f>"Water Block 1 " &amp;IF('Data Input 1'!B10&gt;0,"(excluding consumption allowance)","") &amp;":"</f>
        <v>Water Block 1 :</v>
      </c>
      <c r="C11" s="16"/>
      <c r="D11" s="91">
        <v>1500000</v>
      </c>
      <c r="E11" s="50" t="s">
        <v>58</v>
      </c>
      <c r="F11" s="132"/>
      <c r="G11" s="322" t="s">
        <v>136</v>
      </c>
      <c r="H11" s="323"/>
      <c r="I11" s="323"/>
      <c r="J11" s="323"/>
      <c r="K11" s="324"/>
      <c r="M11" s="318" t="s">
        <v>135</v>
      </c>
      <c r="N11" s="319"/>
    </row>
    <row r="12" spans="1:17" x14ac:dyDescent="0.2">
      <c r="A12" s="15"/>
      <c r="B12" s="49" t="s">
        <v>51</v>
      </c>
      <c r="C12" s="16"/>
      <c r="D12" s="91">
        <v>3000000</v>
      </c>
      <c r="E12" s="50" t="s">
        <v>58</v>
      </c>
      <c r="F12" s="132"/>
      <c r="G12" s="325"/>
      <c r="H12" s="326"/>
      <c r="I12" s="326"/>
      <c r="J12" s="326"/>
      <c r="K12" s="327"/>
      <c r="M12" s="320"/>
      <c r="N12" s="321"/>
    </row>
    <row r="13" spans="1:17" x14ac:dyDescent="0.2">
      <c r="A13" s="15"/>
      <c r="B13" s="49" t="s">
        <v>52</v>
      </c>
      <c r="C13" s="16"/>
      <c r="D13" s="91">
        <v>0</v>
      </c>
      <c r="E13" s="50" t="s">
        <v>58</v>
      </c>
      <c r="F13" s="132"/>
      <c r="G13" s="15"/>
      <c r="H13" s="16"/>
      <c r="I13" s="16"/>
      <c r="J13" s="16"/>
      <c r="K13" s="18"/>
      <c r="M13" s="320"/>
      <c r="N13" s="321"/>
    </row>
    <row r="14" spans="1:17" x14ac:dyDescent="0.2">
      <c r="A14" s="15"/>
      <c r="B14" s="49" t="s">
        <v>53</v>
      </c>
      <c r="C14" s="16"/>
      <c r="D14" s="91">
        <v>0</v>
      </c>
      <c r="E14" s="50" t="s">
        <v>58</v>
      </c>
      <c r="F14" s="132"/>
      <c r="G14" s="312" t="s">
        <v>137</v>
      </c>
      <c r="H14" s="313"/>
      <c r="I14" s="313"/>
      <c r="J14" s="313"/>
      <c r="K14" s="116">
        <v>450000</v>
      </c>
      <c r="M14" s="320"/>
      <c r="N14" s="321"/>
    </row>
    <row r="15" spans="1:17" x14ac:dyDescent="0.2">
      <c r="A15" s="15"/>
      <c r="B15" s="71" t="s">
        <v>74</v>
      </c>
      <c r="C15" s="16"/>
      <c r="D15" s="91">
        <v>1000000</v>
      </c>
      <c r="E15" s="50" t="s">
        <v>58</v>
      </c>
      <c r="F15" s="132"/>
      <c r="G15" s="312" t="s">
        <v>1</v>
      </c>
      <c r="H15" s="313"/>
      <c r="I15" s="313"/>
      <c r="J15" s="313"/>
      <c r="K15" s="116">
        <v>25000</v>
      </c>
      <c r="M15" s="320"/>
      <c r="N15" s="321"/>
    </row>
    <row r="16" spans="1:17" x14ac:dyDescent="0.2">
      <c r="A16" s="15"/>
      <c r="B16" s="16"/>
      <c r="C16" s="16"/>
      <c r="D16" s="16"/>
      <c r="E16" s="18"/>
      <c r="G16" s="312" t="s">
        <v>138</v>
      </c>
      <c r="H16" s="313"/>
      <c r="I16" s="313"/>
      <c r="J16" s="313"/>
      <c r="K16" s="116">
        <v>15000</v>
      </c>
      <c r="M16" s="320"/>
      <c r="N16" s="321"/>
    </row>
    <row r="17" spans="1:14" x14ac:dyDescent="0.2">
      <c r="A17" s="15"/>
      <c r="B17" s="49" t="str">
        <f>"Sewer Block 1 " &amp;IF('Data Input 1'!B18&gt;0,"(excluding consumption allowance)","") &amp;":"</f>
        <v>Sewer Block 1 :</v>
      </c>
      <c r="C17" s="16"/>
      <c r="D17" s="91">
        <v>1200000</v>
      </c>
      <c r="E17" s="50" t="s">
        <v>58</v>
      </c>
      <c r="G17" s="312" t="s">
        <v>139</v>
      </c>
      <c r="H17" s="313"/>
      <c r="I17" s="313"/>
      <c r="J17" s="313"/>
      <c r="K17" s="116">
        <v>5000</v>
      </c>
      <c r="M17" s="15"/>
      <c r="N17" s="18"/>
    </row>
    <row r="18" spans="1:14" x14ac:dyDescent="0.2">
      <c r="A18" s="15"/>
      <c r="B18" s="49" t="s">
        <v>54</v>
      </c>
      <c r="C18" s="16"/>
      <c r="D18" s="91">
        <v>2400000</v>
      </c>
      <c r="E18" s="50" t="s">
        <v>58</v>
      </c>
      <c r="G18" s="312" t="s">
        <v>123</v>
      </c>
      <c r="H18" s="313"/>
      <c r="I18" s="313"/>
      <c r="J18" s="313"/>
      <c r="K18" s="116">
        <v>5000</v>
      </c>
      <c r="M18" s="121" t="str">
        <f>"FY"&amp;'Data Input 1'!F6</f>
        <v>FY2014</v>
      </c>
      <c r="N18" s="116">
        <v>25000</v>
      </c>
    </row>
    <row r="19" spans="1:14" x14ac:dyDescent="0.2">
      <c r="A19" s="15"/>
      <c r="B19" s="49" t="s">
        <v>55</v>
      </c>
      <c r="C19" s="16"/>
      <c r="D19" s="91">
        <v>0</v>
      </c>
      <c r="E19" s="50" t="s">
        <v>58</v>
      </c>
      <c r="G19" s="312" t="s">
        <v>140</v>
      </c>
      <c r="H19" s="313"/>
      <c r="I19" s="313"/>
      <c r="J19" s="313"/>
      <c r="K19" s="116">
        <v>20000</v>
      </c>
      <c r="M19" s="121" t="str">
        <f t="shared" ref="M19:M39" si="0">"FY"&amp;RIGHT(M18,4)+1</f>
        <v>FY2015</v>
      </c>
      <c r="N19" s="116">
        <v>25000</v>
      </c>
    </row>
    <row r="20" spans="1:14" x14ac:dyDescent="0.2">
      <c r="A20" s="15"/>
      <c r="B20" s="49" t="s">
        <v>56</v>
      </c>
      <c r="C20" s="16"/>
      <c r="D20" s="91">
        <v>0</v>
      </c>
      <c r="E20" s="50" t="s">
        <v>58</v>
      </c>
      <c r="G20" s="312" t="s">
        <v>141</v>
      </c>
      <c r="H20" s="313"/>
      <c r="I20" s="313"/>
      <c r="J20" s="313"/>
      <c r="K20" s="116">
        <v>0</v>
      </c>
      <c r="M20" s="121" t="str">
        <f t="shared" si="0"/>
        <v>FY2016</v>
      </c>
      <c r="N20" s="116">
        <v>25000</v>
      </c>
    </row>
    <row r="21" spans="1:14" ht="12.75" customHeight="1" x14ac:dyDescent="0.2">
      <c r="A21" s="15"/>
      <c r="B21" s="71" t="s">
        <v>74</v>
      </c>
      <c r="C21" s="16"/>
      <c r="D21" s="91">
        <v>800000</v>
      </c>
      <c r="E21" s="50" t="s">
        <v>58</v>
      </c>
      <c r="G21" s="312" t="s">
        <v>131</v>
      </c>
      <c r="H21" s="313"/>
      <c r="I21" s="313"/>
      <c r="J21" s="313"/>
      <c r="K21" s="116">
        <v>0</v>
      </c>
      <c r="M21" s="121" t="str">
        <f t="shared" si="0"/>
        <v>FY2017</v>
      </c>
      <c r="N21" s="116">
        <v>5000</v>
      </c>
    </row>
    <row r="22" spans="1:14" x14ac:dyDescent="0.2">
      <c r="A22" s="15"/>
      <c r="B22" s="16"/>
      <c r="C22" s="16"/>
      <c r="D22" s="16"/>
      <c r="E22" s="18"/>
      <c r="G22" s="312" t="s">
        <v>148</v>
      </c>
      <c r="H22" s="313"/>
      <c r="I22" s="313"/>
      <c r="J22" s="313"/>
      <c r="K22" s="116">
        <v>1000</v>
      </c>
      <c r="M22" s="121" t="str">
        <f t="shared" si="0"/>
        <v>FY2018</v>
      </c>
      <c r="N22" s="116">
        <v>5000</v>
      </c>
    </row>
    <row r="23" spans="1:14" ht="12.75" customHeight="1" x14ac:dyDescent="0.2">
      <c r="A23" s="72" t="s">
        <v>0</v>
      </c>
      <c r="B23" s="70"/>
      <c r="C23" s="16"/>
      <c r="D23" s="16"/>
      <c r="E23" s="18"/>
      <c r="G23" s="312" t="s">
        <v>142</v>
      </c>
      <c r="H23" s="313"/>
      <c r="I23" s="313"/>
      <c r="J23" s="313"/>
      <c r="K23" s="116">
        <v>224000</v>
      </c>
      <c r="M23" s="121" t="str">
        <f t="shared" si="0"/>
        <v>FY2019</v>
      </c>
      <c r="N23" s="116">
        <v>5000</v>
      </c>
    </row>
    <row r="24" spans="1:14" x14ac:dyDescent="0.2">
      <c r="A24" s="15"/>
      <c r="B24" s="49" t="str">
        <f>"Water Block 1 " &amp;IF('Data Input 1'!J10&gt;0,"(excluding consumption allowance)","") &amp;":"</f>
        <v>Water Block 1 :</v>
      </c>
      <c r="C24" s="16"/>
      <c r="D24" s="91">
        <v>1000000</v>
      </c>
      <c r="E24" s="50" t="s">
        <v>58</v>
      </c>
      <c r="G24" s="312" t="s">
        <v>147</v>
      </c>
      <c r="H24" s="313"/>
      <c r="I24" s="313"/>
      <c r="J24" s="313"/>
      <c r="K24" s="116">
        <v>200000</v>
      </c>
      <c r="M24" s="121" t="str">
        <f t="shared" si="0"/>
        <v>FY2020</v>
      </c>
      <c r="N24" s="116">
        <v>0</v>
      </c>
    </row>
    <row r="25" spans="1:14" x14ac:dyDescent="0.2">
      <c r="A25" s="15"/>
      <c r="B25" s="49" t="s">
        <v>51</v>
      </c>
      <c r="C25" s="16"/>
      <c r="D25" s="91">
        <v>1439000</v>
      </c>
      <c r="E25" s="50" t="s">
        <v>58</v>
      </c>
      <c r="G25" s="15"/>
      <c r="H25" s="16"/>
      <c r="I25" s="16"/>
      <c r="J25" s="16"/>
      <c r="K25" s="18"/>
      <c r="M25" s="121" t="str">
        <f t="shared" si="0"/>
        <v>FY2021</v>
      </c>
      <c r="N25" s="116">
        <v>0</v>
      </c>
    </row>
    <row r="26" spans="1:14" ht="13.5" customHeight="1" x14ac:dyDescent="0.2">
      <c r="A26" s="15"/>
      <c r="B26" s="49" t="s">
        <v>52</v>
      </c>
      <c r="C26" s="16"/>
      <c r="D26" s="91">
        <v>2500000</v>
      </c>
      <c r="E26" s="50" t="s">
        <v>58</v>
      </c>
      <c r="G26" s="250" t="s">
        <v>132</v>
      </c>
      <c r="H26" s="16"/>
      <c r="I26" s="16"/>
      <c r="J26" s="16"/>
      <c r="K26" s="18"/>
      <c r="M26" s="121" t="str">
        <f t="shared" si="0"/>
        <v>FY2022</v>
      </c>
      <c r="N26" s="116">
        <v>0</v>
      </c>
    </row>
    <row r="27" spans="1:14" ht="13.5" thickBot="1" x14ac:dyDescent="0.25">
      <c r="A27" s="15"/>
      <c r="B27" s="49" t="s">
        <v>53</v>
      </c>
      <c r="C27" s="16"/>
      <c r="D27" s="91">
        <v>0</v>
      </c>
      <c r="E27" s="50" t="s">
        <v>58</v>
      </c>
      <c r="G27" s="68" t="s">
        <v>124</v>
      </c>
      <c r="H27" s="20"/>
      <c r="I27" s="20"/>
      <c r="J27" s="20"/>
      <c r="K27" s="251">
        <v>0.04</v>
      </c>
      <c r="M27" s="121" t="str">
        <f t="shared" si="0"/>
        <v>FY2023</v>
      </c>
      <c r="N27" s="116">
        <v>0</v>
      </c>
    </row>
    <row r="28" spans="1:14" x14ac:dyDescent="0.2">
      <c r="A28" s="15"/>
      <c r="B28" s="71" t="s">
        <v>74</v>
      </c>
      <c r="C28" s="16"/>
      <c r="D28" s="91">
        <v>1000000</v>
      </c>
      <c r="E28" s="50" t="s">
        <v>58</v>
      </c>
      <c r="M28" s="121" t="str">
        <f t="shared" si="0"/>
        <v>FY2024</v>
      </c>
      <c r="N28" s="116">
        <v>50000</v>
      </c>
    </row>
    <row r="29" spans="1:14" ht="13.5" thickBot="1" x14ac:dyDescent="0.25">
      <c r="A29" s="15"/>
      <c r="B29" s="16"/>
      <c r="C29" s="16"/>
      <c r="D29" s="16"/>
      <c r="E29" s="18"/>
      <c r="M29" s="121" t="str">
        <f t="shared" si="0"/>
        <v>FY2025</v>
      </c>
      <c r="N29" s="116">
        <v>50000</v>
      </c>
    </row>
    <row r="30" spans="1:14" ht="15.75" x14ac:dyDescent="0.25">
      <c r="A30" s="15"/>
      <c r="B30" s="49" t="str">
        <f>"Sewer Block 1 " &amp;IF('Data Input 1'!J18&gt;0,"(excluding consumption allowance)","") &amp;":"</f>
        <v>Sewer Block 1 :</v>
      </c>
      <c r="C30" s="16"/>
      <c r="D30" s="91">
        <v>400000</v>
      </c>
      <c r="E30" s="50" t="s">
        <v>58</v>
      </c>
      <c r="G30" s="22" t="s">
        <v>133</v>
      </c>
      <c r="H30" s="23"/>
      <c r="I30" s="23"/>
      <c r="J30" s="23"/>
      <c r="K30" s="25" t="str">
        <f>"After FY"&amp;'Data Input 1'!F6</f>
        <v>After FY2014</v>
      </c>
      <c r="M30" s="121" t="str">
        <f t="shared" si="0"/>
        <v>FY2026</v>
      </c>
      <c r="N30" s="116">
        <v>50000</v>
      </c>
    </row>
    <row r="31" spans="1:14" ht="13.5" thickBot="1" x14ac:dyDescent="0.25">
      <c r="A31" s="15"/>
      <c r="B31" s="49" t="s">
        <v>54</v>
      </c>
      <c r="C31" s="16"/>
      <c r="D31" s="91">
        <v>575600</v>
      </c>
      <c r="E31" s="50" t="s">
        <v>58</v>
      </c>
      <c r="G31" s="26"/>
      <c r="H31" s="27"/>
      <c r="I31" s="27"/>
      <c r="J31" s="27"/>
      <c r="K31" s="28"/>
      <c r="L31" s="61"/>
      <c r="M31" s="121" t="str">
        <f t="shared" si="0"/>
        <v>FY2027</v>
      </c>
      <c r="N31" s="116">
        <v>50000</v>
      </c>
    </row>
    <row r="32" spans="1:14" x14ac:dyDescent="0.2">
      <c r="A32" s="15"/>
      <c r="B32" s="49" t="s">
        <v>55</v>
      </c>
      <c r="C32" s="16"/>
      <c r="D32" s="91">
        <v>1000000</v>
      </c>
      <c r="E32" s="50" t="s">
        <v>58</v>
      </c>
      <c r="G32" s="15"/>
      <c r="H32" s="16"/>
      <c r="I32" s="16"/>
      <c r="J32" s="16"/>
      <c r="K32" s="18"/>
      <c r="M32" s="121" t="str">
        <f t="shared" si="0"/>
        <v>FY2028</v>
      </c>
      <c r="N32" s="116">
        <v>50000</v>
      </c>
    </row>
    <row r="33" spans="1:16" x14ac:dyDescent="0.2">
      <c r="A33" s="15"/>
      <c r="B33" s="49" t="s">
        <v>56</v>
      </c>
      <c r="C33" s="16"/>
      <c r="D33" s="91">
        <v>0</v>
      </c>
      <c r="E33" s="50" t="s">
        <v>58</v>
      </c>
      <c r="G33" s="69" t="s">
        <v>71</v>
      </c>
      <c r="H33" s="16"/>
      <c r="I33" s="16"/>
      <c r="J33" s="16"/>
      <c r="K33" s="18"/>
      <c r="M33" s="121" t="str">
        <f t="shared" si="0"/>
        <v>FY2029</v>
      </c>
      <c r="N33" s="116">
        <v>50000</v>
      </c>
    </row>
    <row r="34" spans="1:16" x14ac:dyDescent="0.2">
      <c r="A34" s="15"/>
      <c r="B34" s="71" t="s">
        <v>74</v>
      </c>
      <c r="C34" s="16"/>
      <c r="D34" s="91">
        <v>400000</v>
      </c>
      <c r="E34" s="50" t="s">
        <v>58</v>
      </c>
      <c r="G34" s="60" t="s">
        <v>126</v>
      </c>
      <c r="H34" s="16"/>
      <c r="I34" s="16"/>
      <c r="J34" s="16"/>
      <c r="K34" s="124">
        <v>-0.01</v>
      </c>
      <c r="M34" s="121" t="str">
        <f t="shared" si="0"/>
        <v>FY2030</v>
      </c>
      <c r="N34" s="116">
        <v>50000</v>
      </c>
    </row>
    <row r="35" spans="1:16" x14ac:dyDescent="0.2">
      <c r="A35" s="15"/>
      <c r="B35" s="16"/>
      <c r="C35" s="16"/>
      <c r="D35" s="16"/>
      <c r="E35" s="18"/>
      <c r="G35" s="60" t="str">
        <f>"Reduction in Average Use in FY"&amp;'Data Input 1'!$G$6&amp;" per 10% increase in rates"</f>
        <v>Reduction in Average Use in FY2015 per 10% increase in rates</v>
      </c>
      <c r="H35" s="16"/>
      <c r="I35" s="16"/>
      <c r="J35" s="16"/>
      <c r="K35" s="124">
        <v>-0.03</v>
      </c>
      <c r="M35" s="121" t="str">
        <f t="shared" si="0"/>
        <v>FY2031</v>
      </c>
      <c r="N35" s="116">
        <v>50000</v>
      </c>
    </row>
    <row r="36" spans="1:16" x14ac:dyDescent="0.2">
      <c r="A36" s="72" t="s">
        <v>27</v>
      </c>
      <c r="B36" s="71"/>
      <c r="C36" s="16"/>
      <c r="D36" s="16"/>
      <c r="E36" s="18"/>
      <c r="G36" s="69" t="s">
        <v>72</v>
      </c>
      <c r="H36" s="16"/>
      <c r="I36" s="16"/>
      <c r="J36" s="16"/>
      <c r="K36" s="18"/>
      <c r="M36" s="121" t="str">
        <f t="shared" si="0"/>
        <v>FY2032</v>
      </c>
      <c r="N36" s="116">
        <v>50000</v>
      </c>
    </row>
    <row r="37" spans="1:16" x14ac:dyDescent="0.2">
      <c r="A37" s="15"/>
      <c r="B37" s="49" t="str">
        <f>"Water Block 1 " &amp;IF('Data Input 1'!B29&gt;0,"(excluding consumption allowance)","") &amp;":"</f>
        <v>Water Block 1 :</v>
      </c>
      <c r="C37" s="16"/>
      <c r="D37" s="91">
        <v>800000</v>
      </c>
      <c r="E37" s="50" t="s">
        <v>58</v>
      </c>
      <c r="G37" s="60" t="s">
        <v>126</v>
      </c>
      <c r="H37" s="16"/>
      <c r="I37" s="16"/>
      <c r="J37" s="16"/>
      <c r="K37" s="124">
        <v>0</v>
      </c>
      <c r="M37" s="121" t="str">
        <f t="shared" si="0"/>
        <v>FY2033</v>
      </c>
      <c r="N37" s="116">
        <v>50000</v>
      </c>
    </row>
    <row r="38" spans="1:16" x14ac:dyDescent="0.2">
      <c r="A38" s="15"/>
      <c r="B38" s="49" t="s">
        <v>51</v>
      </c>
      <c r="C38" s="16"/>
      <c r="D38" s="91">
        <v>0</v>
      </c>
      <c r="E38" s="50" t="s">
        <v>58</v>
      </c>
      <c r="G38" s="60" t="str">
        <f>"Reduction in Average Use in FY"&amp;'Data Input 1'!$G$6&amp;" per 10% increase in rates"</f>
        <v>Reduction in Average Use in FY2015 per 10% increase in rates</v>
      </c>
      <c r="H38" s="16"/>
      <c r="I38" s="16"/>
      <c r="J38" s="16"/>
      <c r="K38" s="124">
        <v>-0.02</v>
      </c>
      <c r="M38" s="121" t="str">
        <f t="shared" si="0"/>
        <v>FY2034</v>
      </c>
      <c r="N38" s="116">
        <v>50000</v>
      </c>
    </row>
    <row r="39" spans="1:16" ht="13.5" thickBot="1" x14ac:dyDescent="0.25">
      <c r="A39" s="15"/>
      <c r="B39" s="49" t="s">
        <v>52</v>
      </c>
      <c r="C39" s="16"/>
      <c r="D39" s="91">
        <v>0</v>
      </c>
      <c r="E39" s="50" t="s">
        <v>58</v>
      </c>
      <c r="G39" s="69" t="s">
        <v>44</v>
      </c>
      <c r="H39" s="16"/>
      <c r="I39" s="16"/>
      <c r="J39" s="16"/>
      <c r="K39" s="18"/>
      <c r="M39" s="122" t="str">
        <f t="shared" si="0"/>
        <v>FY2035</v>
      </c>
      <c r="N39" s="123">
        <v>50000</v>
      </c>
    </row>
    <row r="40" spans="1:16" x14ac:dyDescent="0.2">
      <c r="A40" s="15"/>
      <c r="B40" s="49" t="s">
        <v>53</v>
      </c>
      <c r="C40" s="16"/>
      <c r="D40" s="91">
        <v>0</v>
      </c>
      <c r="E40" s="50" t="s">
        <v>58</v>
      </c>
      <c r="G40" s="60" t="s">
        <v>126</v>
      </c>
      <c r="H40" s="16"/>
      <c r="I40" s="16"/>
      <c r="J40" s="16"/>
      <c r="K40" s="124">
        <v>-0.02</v>
      </c>
    </row>
    <row r="41" spans="1:16" ht="13.5" thickBot="1" x14ac:dyDescent="0.25">
      <c r="A41" s="19"/>
      <c r="B41" s="73" t="s">
        <v>74</v>
      </c>
      <c r="C41" s="20"/>
      <c r="D41" s="92">
        <v>0</v>
      </c>
      <c r="E41" s="51" t="s">
        <v>58</v>
      </c>
      <c r="F41" s="94"/>
      <c r="G41" s="68" t="str">
        <f>"Reduction in Average Use in FY"&amp;'Data Input 1'!$G$6&amp;" per 10% increase in rates"</f>
        <v>Reduction in Average Use in FY2015 per 10% increase in rates</v>
      </c>
      <c r="H41" s="20"/>
      <c r="I41" s="20"/>
      <c r="J41" s="20"/>
      <c r="K41" s="125">
        <v>-0.05</v>
      </c>
      <c r="L41" s="74"/>
      <c r="M41" s="74"/>
      <c r="N41" s="74"/>
      <c r="O41" s="74"/>
      <c r="P41" s="74"/>
    </row>
    <row r="42" spans="1:16" x14ac:dyDescent="0.2">
      <c r="F42" s="94"/>
      <c r="G42" s="94"/>
      <c r="H42" s="94"/>
      <c r="I42" s="94"/>
      <c r="J42" s="94"/>
      <c r="K42" s="94"/>
      <c r="L42" s="74"/>
      <c r="M42" s="74"/>
      <c r="N42" s="74"/>
      <c r="O42" s="74"/>
      <c r="P42" s="74"/>
    </row>
    <row r="43" spans="1:16" x14ac:dyDescent="0.2">
      <c r="A43" s="308" t="s">
        <v>130</v>
      </c>
      <c r="B43" s="308"/>
      <c r="C43" s="308"/>
      <c r="D43" s="308"/>
      <c r="E43" s="308"/>
      <c r="F43" s="308"/>
      <c r="G43" s="308"/>
      <c r="H43" s="308"/>
      <c r="I43" s="308"/>
      <c r="J43" s="308"/>
      <c r="K43" s="308"/>
      <c r="L43" s="308"/>
      <c r="M43" s="308"/>
      <c r="N43" s="308"/>
      <c r="O43" s="74"/>
    </row>
    <row r="44" spans="1:16" x14ac:dyDescent="0.2">
      <c r="A44" s="308" t="s">
        <v>97</v>
      </c>
      <c r="B44" s="308"/>
      <c r="C44" s="308"/>
      <c r="D44" s="308"/>
      <c r="E44" s="308"/>
      <c r="F44" s="308"/>
      <c r="G44" s="308"/>
      <c r="H44" s="308"/>
      <c r="I44" s="308"/>
      <c r="J44" s="308"/>
      <c r="K44" s="308"/>
      <c r="L44" s="308"/>
      <c r="M44" s="308"/>
      <c r="N44" s="308"/>
    </row>
    <row r="45" spans="1:16" x14ac:dyDescent="0.2">
      <c r="A45" s="274" t="s">
        <v>120</v>
      </c>
      <c r="B45" s="274"/>
      <c r="C45" s="274"/>
      <c r="D45" s="274"/>
      <c r="E45" s="274"/>
      <c r="F45" s="274"/>
      <c r="G45" s="274"/>
      <c r="H45" s="274"/>
      <c r="I45" s="274"/>
      <c r="J45" s="274"/>
      <c r="K45" s="274"/>
      <c r="L45" s="274"/>
      <c r="M45" s="274"/>
      <c r="N45" s="274"/>
      <c r="O45" s="120"/>
    </row>
    <row r="47" spans="1:16" x14ac:dyDescent="0.2">
      <c r="K47" s="14"/>
    </row>
  </sheetData>
  <sheetProtection password="EB90" sheet="1" objects="1" scenarios="1" selectLockedCells="1"/>
  <mergeCells count="27">
    <mergeCell ref="G14:J14"/>
    <mergeCell ref="G15:J15"/>
    <mergeCell ref="B1:G1"/>
    <mergeCell ref="B3:G3"/>
    <mergeCell ref="I1:K1"/>
    <mergeCell ref="M2:Q2"/>
    <mergeCell ref="M3:M4"/>
    <mergeCell ref="N3:N4"/>
    <mergeCell ref="O3:O4"/>
    <mergeCell ref="P3:P4"/>
    <mergeCell ref="Q3:Q4"/>
    <mergeCell ref="A43:N43"/>
    <mergeCell ref="A44:N44"/>
    <mergeCell ref="A45:N45"/>
    <mergeCell ref="A9:E9"/>
    <mergeCell ref="G21:J21"/>
    <mergeCell ref="G22:J22"/>
    <mergeCell ref="G24:J24"/>
    <mergeCell ref="G23:J23"/>
    <mergeCell ref="M9:N10"/>
    <mergeCell ref="M11:N16"/>
    <mergeCell ref="G11:K12"/>
    <mergeCell ref="G16:J16"/>
    <mergeCell ref="G17:J17"/>
    <mergeCell ref="G18:J18"/>
    <mergeCell ref="G19:J19"/>
    <mergeCell ref="G20:J20"/>
  </mergeCells>
  <dataValidations count="9">
    <dataValidation type="decimal" allowBlank="1" showInputMessage="1" showErrorMessage="1" error="Please input a percentage between +100% and -100%. Note that 0.20% must be input as &quot;0.002&quot; or &quot;0.2%.&quot; Entering &quot;0.2&quot; without the percent sign will yield a cell value of 20%." prompt="Change in per-household average water consumption. To be conservative in your financial planning, assume that households use less water every year. Please input a percentage between +100% and -100%. Note that 0.20% must be input as &quot;0.002&quot; or &quot;0.2%.&quot;" sqref="K34" xr:uid="{00000000-0002-0000-0200-000000000000}">
      <formula1>-1</formula1>
      <formula2>1</formula2>
    </dataValidation>
    <dataValidation type="whole" operator="greaterThanOrEqual" allowBlank="1" showErrorMessage="1" error="Please enter a non-negative whole number." sqref="D11:D15 D17:D21 D37:D41 D24:D28 D30:D34" xr:uid="{00000000-0002-0000-0200-000001000000}">
      <formula1>0</formula1>
    </dataValidation>
    <dataValidation type="decimal" operator="greaterThanOrEqual" allowBlank="1" showErrorMessage="1" error="Please enter a non-negative whole or decimal number." sqref="K7 K14:K24" xr:uid="{00000000-0002-0000-0200-000002000000}">
      <formula1>0</formula1>
    </dataValidation>
    <dataValidation type="decimal" allowBlank="1" showInputMessage="1" showErrorMessage="1" error="Please input a percentage between +100% and -100%. Note that 0.20% must be typed in as &quot;0.002&quot; or &quot;0.2%.&quot; Entering &quot;0.2&quot; without the percent sign will yield a cell value of 20%." prompt="Applies to all expenses shown in the &quot;Utility Expenses&quot; section only. Please input a percentage between +100% and -100%. Note that 0.20% must be typed in as &quot;0.002&quot; or &quot;0.2%.&quot; Entering &quot;0.2&quot; without the percent sign will yield a cell value of 20%." sqref="K27" xr:uid="{00000000-0002-0000-0200-000003000000}">
      <formula1>-1</formula1>
      <formula2>1</formula2>
    </dataValidation>
    <dataValidation type="decimal" allowBlank="1" showInputMessage="1" showErrorMessage="1" error="Please input a percentage between +100% and -100%. Note that 0.20% must be input as &quot;0.002&quot; or &quot;0.2%.&quot; Entering &quot;0.2&quot; without the percent sign will yield a cell value of 20%." prompt="Change in commercial average water consumption. Please input a percentage between +100% and -100%. Note that 0.20% must be input as &quot;0.002&quot; or &quot;0.2%.&quot; Entering &quot;0.2&quot; without the percent sign will yield a cell value of 20%." sqref="K37" xr:uid="{00000000-0002-0000-0200-000004000000}">
      <formula1>-1</formula1>
      <formula2>1</formula2>
    </dataValidation>
    <dataValidation type="decimal" allowBlank="1" showInputMessage="1" showErrorMessage="1" error="Please input a percentage between +100% and -100%. Note that 0.20% must be input as &quot;0.002&quot; or &quot;0.2%.&quot; Entering &quot;0.2&quot; without the percent sign will yield a cell value of 20%." prompt="Change in average irrigation water consumption. To be conservative in your financial planning, assume that irrigation uses less water every year. Please input a percentage between +100% and -100%. Note that 0.20% must be input as &quot;0.002&quot; or &quot;0.2%.&quot;" sqref="K40" xr:uid="{00000000-0002-0000-0200-000005000000}">
      <formula1>-1</formula1>
      <formula2>1</formula2>
    </dataValidation>
    <dataValidation type="decimal" allowBlank="1" showInputMessage="1" showErrorMessage="1" error="Please input a percentage between zero and -100%. Note that 0.20% must be typed in as &quot;0.002&quot; or &quot;0.2%.&quot; Entering &quot;0.2&quot; without the percent sign will yield a cell value of 20%." prompt="Please input a percentage between zero and -100%. Note that 0.20% must be typed in as &quot;0.002&quot; or &quot;0.2%.&quot; Entering &quot;0.2&quot; without the percent sign will yield a cell value of 20%." sqref="K35 K38 K41" xr:uid="{00000000-0002-0000-0200-000006000000}">
      <formula1>-1</formula1>
      <formula2>0</formula2>
    </dataValidation>
    <dataValidation type="decimal" operator="greaterThanOrEqual" allowBlank="1" showErrorMessage="1" error="Please input a positive number." sqref="M3:M4" xr:uid="{00000000-0002-0000-0200-000007000000}">
      <formula1>0</formula1>
    </dataValidation>
    <dataValidation type="decimal" allowBlank="1" showErrorMessage="1" error="Please enter a number that is $0 or above." sqref="N18:N39" xr:uid="{00000000-0002-0000-0200-000008000000}">
      <formula1>0</formula1>
      <formula2>9999999999999990</formula2>
    </dataValidation>
  </dataValidations>
  <hyperlinks>
    <hyperlink ref="A41:F41" r:id="rId1" display="Copyright © 2012 Environmental Finance Center at The University of North Carolina, Chapel Hill. www.efc.unc.edu" xr:uid="{00000000-0004-0000-0200-000000000000}"/>
    <hyperlink ref="A43:J43" r:id="rId2" display="Copyright © 2012 Environmental Finance Center at The University of North Carolina, Chapel Hill. www.efc.unc.edu" xr:uid="{00000000-0004-0000-0200-000001000000}"/>
    <hyperlink ref="A43:K43" r:id="rId3" display="Copyright © 2013 Environmental Finance Center at the University of North Carolina, Chapel Hill. efc.sog.unc.edu" xr:uid="{00000000-0004-0000-0200-000002000000}"/>
    <hyperlink ref="A45:K45" r:id="rId4" display="Download an updated version of this tool at http://efc.sog.unc.edu. Find it in Resources / Tools." xr:uid="{00000000-0004-0000-0200-000003000000}"/>
    <hyperlink ref="A9:E9" location="'Example of Block Consumption'!A1" display="View example of how to determine consumption by blocks" xr:uid="{00000000-0004-0000-0200-000004000000}"/>
  </hyperlinks>
  <pageMargins left="0.7" right="0.7" top="0.75" bottom="0.75" header="0.3" footer="0.3"/>
  <pageSetup orientation="portrait" r:id="rId5"/>
  <legacyDrawing r:id="rId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V113"/>
  <sheetViews>
    <sheetView zoomScaleNormal="100" zoomScalePageLayoutView="110" workbookViewId="0">
      <selection sqref="A1:I1"/>
    </sheetView>
  </sheetViews>
  <sheetFormatPr defaultColWidth="8.85546875" defaultRowHeight="12.75" x14ac:dyDescent="0.2"/>
  <cols>
    <col min="1" max="1" width="15.28515625" style="239" customWidth="1"/>
    <col min="2" max="2" width="11.28515625" style="239" bestFit="1" customWidth="1"/>
    <col min="3" max="3" width="20.85546875" style="239" customWidth="1"/>
    <col min="4" max="11" width="10.42578125" style="239" bestFit="1" customWidth="1"/>
    <col min="12" max="13" width="10" style="239" bestFit="1" customWidth="1"/>
    <col min="14" max="16384" width="8.85546875" style="239"/>
  </cols>
  <sheetData>
    <row r="1" spans="1:13" ht="18" x14ac:dyDescent="0.2">
      <c r="A1" s="337" t="s">
        <v>119</v>
      </c>
      <c r="B1" s="337"/>
      <c r="C1" s="337"/>
      <c r="D1" s="337"/>
      <c r="E1" s="337"/>
      <c r="F1" s="337"/>
      <c r="G1" s="337"/>
      <c r="H1" s="337"/>
      <c r="I1" s="337"/>
    </row>
    <row r="2" spans="1:13" ht="12.75" customHeight="1" x14ac:dyDescent="0.2">
      <c r="A2" s="240"/>
      <c r="B2" s="240"/>
      <c r="C2" s="240"/>
      <c r="D2" s="240"/>
      <c r="E2" s="240"/>
      <c r="F2" s="240"/>
    </row>
    <row r="3" spans="1:13" ht="18" x14ac:dyDescent="0.2">
      <c r="A3" s="337" t="s">
        <v>76</v>
      </c>
      <c r="B3" s="337"/>
      <c r="C3" s="337"/>
      <c r="D3" s="337"/>
      <c r="E3" s="337"/>
      <c r="F3" s="337"/>
      <c r="G3" s="337"/>
      <c r="H3" s="337"/>
      <c r="I3" s="337"/>
    </row>
    <row r="4" spans="1:13" ht="13.5" thickBot="1" x14ac:dyDescent="0.25"/>
    <row r="5" spans="1:13" x14ac:dyDescent="0.2">
      <c r="A5" s="339" t="s">
        <v>75</v>
      </c>
      <c r="B5" s="339"/>
      <c r="C5" s="340">
        <v>1000000</v>
      </c>
    </row>
    <row r="6" spans="1:13" ht="13.5" thickBot="1" x14ac:dyDescent="0.25">
      <c r="A6" s="339"/>
      <c r="B6" s="339"/>
      <c r="C6" s="341"/>
      <c r="D6" s="241" t="s">
        <v>77</v>
      </c>
      <c r="E6" s="242"/>
      <c r="F6" s="242"/>
      <c r="G6" s="242"/>
      <c r="H6" s="242"/>
      <c r="I6" s="242"/>
      <c r="J6" s="242"/>
      <c r="K6" s="242"/>
      <c r="L6" s="242"/>
      <c r="M6" s="242"/>
    </row>
    <row r="7" spans="1:13" x14ac:dyDescent="0.2">
      <c r="B7" s="242"/>
      <c r="C7" s="242"/>
      <c r="D7" s="242"/>
      <c r="E7" s="242"/>
      <c r="F7" s="242"/>
      <c r="G7" s="242"/>
      <c r="H7" s="242"/>
      <c r="I7" s="242"/>
      <c r="J7" s="242"/>
      <c r="K7" s="242"/>
      <c r="L7" s="242"/>
      <c r="M7" s="242"/>
    </row>
    <row r="8" spans="1:13" x14ac:dyDescent="0.2">
      <c r="B8" s="242"/>
      <c r="C8" s="242"/>
      <c r="D8" s="242"/>
      <c r="E8" s="242"/>
      <c r="F8" s="242"/>
      <c r="G8" s="242"/>
      <c r="H8" s="242"/>
      <c r="I8" s="242"/>
      <c r="J8" s="242"/>
      <c r="K8" s="242"/>
      <c r="L8" s="242"/>
      <c r="M8" s="242"/>
    </row>
    <row r="47" s="133" customFormat="1" x14ac:dyDescent="0.2"/>
    <row r="48" s="133" customFormat="1" x14ac:dyDescent="0.2"/>
    <row r="49" spans="1:11" s="133" customFormat="1" x14ac:dyDescent="0.2"/>
    <row r="50" spans="1:11" s="133" customFormat="1" x14ac:dyDescent="0.2"/>
    <row r="51" spans="1:11" s="133" customFormat="1" x14ac:dyDescent="0.2"/>
    <row r="52" spans="1:11" s="133" customFormat="1" x14ac:dyDescent="0.2"/>
    <row r="53" spans="1:11" ht="12.75" customHeight="1" x14ac:dyDescent="0.2">
      <c r="A53" s="338" t="s">
        <v>130</v>
      </c>
      <c r="B53" s="338"/>
      <c r="C53" s="338"/>
      <c r="D53" s="338"/>
      <c r="E53" s="338"/>
      <c r="F53" s="338"/>
      <c r="G53" s="338"/>
      <c r="H53" s="338"/>
      <c r="I53" s="338"/>
      <c r="J53" s="243"/>
      <c r="K53" s="243"/>
    </row>
    <row r="54" spans="1:11" x14ac:dyDescent="0.2">
      <c r="A54" s="338" t="s">
        <v>98</v>
      </c>
      <c r="B54" s="338"/>
      <c r="C54" s="338"/>
      <c r="D54" s="338"/>
      <c r="E54" s="338"/>
      <c r="F54" s="338"/>
      <c r="G54" s="338"/>
      <c r="H54" s="338"/>
      <c r="I54" s="338"/>
      <c r="J54" s="243"/>
      <c r="K54" s="244"/>
    </row>
    <row r="55" spans="1:11" x14ac:dyDescent="0.2">
      <c r="A55" s="338"/>
      <c r="B55" s="338"/>
      <c r="C55" s="338"/>
      <c r="D55" s="338"/>
      <c r="E55" s="338"/>
      <c r="F55" s="338"/>
      <c r="G55" s="338"/>
      <c r="H55" s="338"/>
      <c r="I55" s="338"/>
    </row>
    <row r="56" spans="1:11" x14ac:dyDescent="0.2">
      <c r="A56" s="274" t="s">
        <v>120</v>
      </c>
      <c r="B56" s="274"/>
      <c r="C56" s="274"/>
      <c r="D56" s="274"/>
      <c r="E56" s="274"/>
      <c r="F56" s="274"/>
      <c r="G56" s="274"/>
      <c r="H56" s="274"/>
      <c r="I56" s="274"/>
      <c r="J56" s="245"/>
      <c r="K56" s="245"/>
    </row>
    <row r="110" spans="2:22" x14ac:dyDescent="0.2">
      <c r="B110" s="246">
        <f>'Fund Balance - Existing Rates'!C5</f>
        <v>2014</v>
      </c>
      <c r="C110" s="246">
        <f>'Fund Balance - Existing Rates'!D5</f>
        <v>2015</v>
      </c>
      <c r="D110" s="246">
        <f>'Fund Balance - Existing Rates'!E5</f>
        <v>2016</v>
      </c>
      <c r="E110" s="246">
        <f>'Fund Balance - Existing Rates'!F5</f>
        <v>2017</v>
      </c>
      <c r="F110" s="246">
        <f>'Fund Balance - Existing Rates'!G5</f>
        <v>2018</v>
      </c>
      <c r="G110" s="246">
        <f>'Fund Balance - Existing Rates'!H5</f>
        <v>2019</v>
      </c>
      <c r="H110" s="246">
        <f>'Fund Balance - Existing Rates'!I5</f>
        <v>2020</v>
      </c>
      <c r="I110" s="246">
        <f>'Fund Balance - Existing Rates'!J5</f>
        <v>2021</v>
      </c>
      <c r="J110" s="246">
        <f>'Fund Balance - Existing Rates'!K5</f>
        <v>2022</v>
      </c>
      <c r="K110" s="246">
        <f>'Fund Balance - Existing Rates'!L5</f>
        <v>2023</v>
      </c>
      <c r="L110" s="246">
        <f>'Fund Balance - Existing Rates'!M5</f>
        <v>2024</v>
      </c>
      <c r="M110" s="246">
        <f>'Fund Balance - Existing Rates'!N5</f>
        <v>2025</v>
      </c>
      <c r="N110" s="246">
        <f>'Fund Balance - Existing Rates'!O5</f>
        <v>2026</v>
      </c>
      <c r="O110" s="246">
        <f>'Fund Balance - Existing Rates'!P5</f>
        <v>2027</v>
      </c>
      <c r="P110" s="246">
        <f>'Fund Balance - Existing Rates'!Q5</f>
        <v>2028</v>
      </c>
      <c r="Q110" s="246">
        <f>'Fund Balance - Existing Rates'!R5</f>
        <v>2029</v>
      </c>
      <c r="R110" s="246">
        <f>'Fund Balance - Existing Rates'!S5</f>
        <v>2030</v>
      </c>
      <c r="S110" s="246">
        <f>'Fund Balance - Existing Rates'!T5</f>
        <v>2031</v>
      </c>
      <c r="T110" s="246">
        <f>'Fund Balance - Existing Rates'!U5</f>
        <v>2032</v>
      </c>
      <c r="U110" s="246">
        <f>'Fund Balance - Existing Rates'!V5</f>
        <v>2033</v>
      </c>
      <c r="V110" s="246">
        <f>'Fund Balance - Existing Rates'!W5</f>
        <v>2034</v>
      </c>
    </row>
    <row r="111" spans="2:22" x14ac:dyDescent="0.2">
      <c r="B111" s="247">
        <f>$C$5</f>
        <v>1000000</v>
      </c>
      <c r="C111" s="247">
        <f t="shared" ref="C111:V111" si="0">$C$5</f>
        <v>1000000</v>
      </c>
      <c r="D111" s="247">
        <f t="shared" si="0"/>
        <v>1000000</v>
      </c>
      <c r="E111" s="247">
        <f t="shared" si="0"/>
        <v>1000000</v>
      </c>
      <c r="F111" s="247">
        <f t="shared" si="0"/>
        <v>1000000</v>
      </c>
      <c r="G111" s="247">
        <f t="shared" si="0"/>
        <v>1000000</v>
      </c>
      <c r="H111" s="247">
        <f t="shared" si="0"/>
        <v>1000000</v>
      </c>
      <c r="I111" s="247">
        <f t="shared" si="0"/>
        <v>1000000</v>
      </c>
      <c r="J111" s="247">
        <f t="shared" si="0"/>
        <v>1000000</v>
      </c>
      <c r="K111" s="247">
        <f t="shared" si="0"/>
        <v>1000000</v>
      </c>
      <c r="L111" s="247">
        <f t="shared" si="0"/>
        <v>1000000</v>
      </c>
      <c r="M111" s="247">
        <f t="shared" si="0"/>
        <v>1000000</v>
      </c>
      <c r="N111" s="247">
        <f t="shared" si="0"/>
        <v>1000000</v>
      </c>
      <c r="O111" s="247">
        <f t="shared" si="0"/>
        <v>1000000</v>
      </c>
      <c r="P111" s="247">
        <f t="shared" si="0"/>
        <v>1000000</v>
      </c>
      <c r="Q111" s="247">
        <f t="shared" si="0"/>
        <v>1000000</v>
      </c>
      <c r="R111" s="247">
        <f t="shared" si="0"/>
        <v>1000000</v>
      </c>
      <c r="S111" s="247">
        <f t="shared" si="0"/>
        <v>1000000</v>
      </c>
      <c r="T111" s="247">
        <f t="shared" si="0"/>
        <v>1000000</v>
      </c>
      <c r="U111" s="247">
        <f t="shared" si="0"/>
        <v>1000000</v>
      </c>
      <c r="V111" s="247">
        <f t="shared" si="0"/>
        <v>1000000</v>
      </c>
    </row>
    <row r="112" spans="2:22" x14ac:dyDescent="0.2">
      <c r="B112" s="246">
        <f>ROUND(MIN('Fund Balance - Existing Rates'!$C$91:$W$91,'Fund Balance - New Rates'!$C$91:$W$91),-6)</f>
        <v>-9000000</v>
      </c>
      <c r="C112" s="246">
        <f>ROUND(MIN('Fund Balance - Existing Rates'!$C$91:$W$91,'Fund Balance - New Rates'!$C$91:$W$91),-6)</f>
        <v>-9000000</v>
      </c>
      <c r="D112" s="246">
        <f>ROUND(MIN('Fund Balance - Existing Rates'!$C$91:$W$91,'Fund Balance - New Rates'!$C$91:$W$91),-6)</f>
        <v>-9000000</v>
      </c>
      <c r="E112" s="246">
        <f>ROUND(MIN('Fund Balance - Existing Rates'!$C$91:$W$91,'Fund Balance - New Rates'!$C$91:$W$91),-6)</f>
        <v>-9000000</v>
      </c>
      <c r="F112" s="246">
        <f>ROUND(MIN('Fund Balance - Existing Rates'!$C$91:$W$91,'Fund Balance - New Rates'!$C$91:$W$91),-6)</f>
        <v>-9000000</v>
      </c>
      <c r="G112" s="246">
        <f>ROUND(MIN('Fund Balance - Existing Rates'!$C$91:$W$91,'Fund Balance - New Rates'!$C$91:$W$91),-6)</f>
        <v>-9000000</v>
      </c>
      <c r="H112" s="246">
        <f>ROUND(MIN('Fund Balance - Existing Rates'!$C$91:$W$91,'Fund Balance - New Rates'!$C$91:$W$91),-6)</f>
        <v>-9000000</v>
      </c>
      <c r="I112" s="246">
        <f>ROUND(MIN('Fund Balance - Existing Rates'!$C$91:$W$91,'Fund Balance - New Rates'!$C$91:$W$91),-6)</f>
        <v>-9000000</v>
      </c>
      <c r="J112" s="246">
        <f>ROUND(MIN('Fund Balance - Existing Rates'!$C$91:$W$91,'Fund Balance - New Rates'!$C$91:$W$91),-6)</f>
        <v>-9000000</v>
      </c>
      <c r="K112" s="246">
        <f>ROUND(MIN('Fund Balance - Existing Rates'!$C$91:$W$91,'Fund Balance - New Rates'!$C$91:$W$91),-6)</f>
        <v>-9000000</v>
      </c>
      <c r="L112" s="246">
        <f>ROUND(MIN('Fund Balance - Existing Rates'!$C$91:$W$91,'Fund Balance - New Rates'!$C$91:$W$91),-6)</f>
        <v>-9000000</v>
      </c>
      <c r="M112" s="246">
        <f>ROUND(MIN('Fund Balance - Existing Rates'!$C$91:$W$91,'Fund Balance - New Rates'!$C$91:$W$91),-6)</f>
        <v>-9000000</v>
      </c>
      <c r="N112" s="246">
        <f>ROUND(MIN('Fund Balance - Existing Rates'!$C$91:$W$91,'Fund Balance - New Rates'!$C$91:$W$91),-6)</f>
        <v>-9000000</v>
      </c>
      <c r="O112" s="246">
        <f>ROUND(MIN('Fund Balance - Existing Rates'!$C$91:$W$91,'Fund Balance - New Rates'!$C$91:$W$91),-6)</f>
        <v>-9000000</v>
      </c>
      <c r="P112" s="246">
        <f>ROUND(MIN('Fund Balance - Existing Rates'!$C$91:$W$91,'Fund Balance - New Rates'!$C$91:$W$91),-6)</f>
        <v>-9000000</v>
      </c>
      <c r="Q112" s="246">
        <f>ROUND(MIN('Fund Balance - Existing Rates'!$C$91:$W$91,'Fund Balance - New Rates'!$C$91:$W$91),-6)</f>
        <v>-9000000</v>
      </c>
      <c r="R112" s="246">
        <f>ROUND(MIN('Fund Balance - Existing Rates'!$C$91:$W$91,'Fund Balance - New Rates'!$C$91:$W$91),-6)</f>
        <v>-9000000</v>
      </c>
      <c r="S112" s="246">
        <f>ROUND(MIN('Fund Balance - Existing Rates'!$C$91:$W$91,'Fund Balance - New Rates'!$C$91:$W$91),-6)</f>
        <v>-9000000</v>
      </c>
      <c r="T112" s="246">
        <f>ROUND(MIN('Fund Balance - Existing Rates'!$C$91:$W$91,'Fund Balance - New Rates'!$C$91:$W$91),-6)</f>
        <v>-9000000</v>
      </c>
      <c r="U112" s="246">
        <f>ROUND(MIN('Fund Balance - Existing Rates'!$C$91:$W$91,'Fund Balance - New Rates'!$C$91:$W$91),-6)</f>
        <v>-9000000</v>
      </c>
      <c r="V112" s="246">
        <f>ROUND(MIN('Fund Balance - Existing Rates'!$C$91:$W$91,'Fund Balance - New Rates'!$C$91:$W$91),-6)</f>
        <v>-9000000</v>
      </c>
    </row>
    <row r="113" spans="2:22" x14ac:dyDescent="0.2">
      <c r="B113" s="246">
        <v>1</v>
      </c>
      <c r="C113" s="246">
        <v>1</v>
      </c>
      <c r="D113" s="246">
        <v>1</v>
      </c>
      <c r="E113" s="246">
        <v>1</v>
      </c>
      <c r="F113" s="246">
        <v>1</v>
      </c>
      <c r="G113" s="246">
        <v>1</v>
      </c>
      <c r="H113" s="246">
        <v>1</v>
      </c>
      <c r="I113" s="246">
        <v>1</v>
      </c>
      <c r="J113" s="246">
        <v>1</v>
      </c>
      <c r="K113" s="246">
        <v>1</v>
      </c>
      <c r="L113" s="246">
        <v>1</v>
      </c>
      <c r="M113" s="246">
        <v>1</v>
      </c>
      <c r="N113" s="246">
        <v>1</v>
      </c>
      <c r="O113" s="246">
        <v>1</v>
      </c>
      <c r="P113" s="246">
        <v>1</v>
      </c>
      <c r="Q113" s="246">
        <v>1</v>
      </c>
      <c r="R113" s="246">
        <v>1</v>
      </c>
      <c r="S113" s="246">
        <v>1</v>
      </c>
      <c r="T113" s="246">
        <v>1</v>
      </c>
      <c r="U113" s="246">
        <v>1</v>
      </c>
      <c r="V113" s="246">
        <v>1</v>
      </c>
    </row>
  </sheetData>
  <sheetProtection password="EB90" sheet="1" objects="1" scenarios="1"/>
  <mergeCells count="7">
    <mergeCell ref="A1:I1"/>
    <mergeCell ref="A3:I3"/>
    <mergeCell ref="A56:I56"/>
    <mergeCell ref="A54:I55"/>
    <mergeCell ref="A5:B6"/>
    <mergeCell ref="C5:C6"/>
    <mergeCell ref="A53:I53"/>
  </mergeCells>
  <phoneticPr fontId="0" type="noConversion"/>
  <dataValidations count="1">
    <dataValidation type="whole" allowBlank="1" showErrorMessage="1" error="Please enter a numeric value between $1 billion and -$1 billion." sqref="C5:C6" xr:uid="{00000000-0002-0000-0300-000000000000}">
      <formula1>-1000000000</formula1>
      <formula2>1000000000</formula2>
    </dataValidation>
  </dataValidations>
  <hyperlinks>
    <hyperlink ref="A53:I53" r:id="rId1" display="Copyright © 2014 Environmental Finance Center at the University of North Carolina, Chapel Hill. efc.sog.unc.edu" xr:uid="{00000000-0004-0000-0300-000000000000}"/>
    <hyperlink ref="A56:I56" r:id="rId2" display="Download an updated version of this tool at http://efc.sog.unc.edu. Find it in Resources / Tools." xr:uid="{00000000-0004-0000-0300-000001000000}"/>
  </hyperlinks>
  <pageMargins left="0.75" right="0.75" top="1" bottom="1" header="0.5" footer="0.5"/>
  <pageSetup scale="68" orientation="landscape" horizontalDpi="4294967295" r:id="rId3"/>
  <headerFooter alignWithMargins="0"/>
  <drawing r:id="rId4"/>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96"/>
  <sheetViews>
    <sheetView workbookViewId="0">
      <selection activeCell="A194" sqref="A194:U194"/>
    </sheetView>
  </sheetViews>
  <sheetFormatPr defaultRowHeight="12.75" x14ac:dyDescent="0.2"/>
  <cols>
    <col min="1" max="14" width="9.140625" style="227"/>
    <col min="15" max="15" width="9.140625" style="226"/>
    <col min="16" max="16" width="18.140625" style="226" bestFit="1" customWidth="1"/>
    <col min="17" max="17" width="14.28515625" style="226" bestFit="1" customWidth="1"/>
    <col min="18" max="18" width="14.42578125" style="226" hidden="1" customWidth="1"/>
    <col min="19" max="19" width="14" style="226" customWidth="1"/>
    <col min="20" max="20" width="14" style="226" hidden="1" customWidth="1"/>
    <col min="21" max="21" width="14" style="226" customWidth="1"/>
    <col min="22" max="22" width="9.140625" style="226"/>
    <col min="23" max="23" width="12.140625" style="226" customWidth="1"/>
    <col min="24" max="24" width="14.28515625" style="226" bestFit="1" customWidth="1"/>
    <col min="25" max="25" width="14.42578125" style="226" hidden="1" customWidth="1"/>
    <col min="26" max="26" width="14" style="226" customWidth="1"/>
    <col min="27" max="27" width="14" style="226" hidden="1" customWidth="1"/>
    <col min="28" max="28" width="14" style="226" customWidth="1"/>
    <col min="29" max="16384" width="9.140625" style="227"/>
  </cols>
  <sheetData>
    <row r="1" spans="1:29" ht="18" x14ac:dyDescent="0.25">
      <c r="A1" s="342" t="s">
        <v>119</v>
      </c>
      <c r="B1" s="342"/>
      <c r="C1" s="342"/>
      <c r="D1" s="342"/>
      <c r="E1" s="342"/>
      <c r="F1" s="342"/>
      <c r="G1" s="342"/>
      <c r="H1" s="342"/>
      <c r="I1" s="342"/>
      <c r="J1" s="342"/>
      <c r="K1" s="342"/>
      <c r="L1" s="342"/>
      <c r="M1" s="342"/>
      <c r="N1" s="342"/>
      <c r="O1" s="342"/>
    </row>
    <row r="2" spans="1:29" ht="18" x14ac:dyDescent="0.25">
      <c r="A2" s="342" t="s">
        <v>118</v>
      </c>
      <c r="B2" s="342"/>
      <c r="C2" s="342"/>
      <c r="D2" s="342"/>
      <c r="E2" s="342"/>
      <c r="F2" s="342"/>
      <c r="G2" s="342"/>
      <c r="H2" s="342"/>
      <c r="I2" s="342"/>
      <c r="J2" s="342"/>
      <c r="K2" s="342"/>
      <c r="L2" s="342"/>
      <c r="M2" s="342"/>
      <c r="N2" s="342"/>
      <c r="O2" s="342"/>
    </row>
    <row r="5" spans="1:29" ht="18" x14ac:dyDescent="0.25">
      <c r="A5" s="346" t="s">
        <v>113</v>
      </c>
      <c r="B5" s="346"/>
      <c r="C5" s="346"/>
      <c r="D5" s="346"/>
      <c r="E5" s="346"/>
      <c r="F5" s="346"/>
      <c r="G5" s="346"/>
      <c r="H5" s="346"/>
      <c r="I5" s="346"/>
      <c r="J5" s="346"/>
      <c r="K5" s="346"/>
      <c r="L5" s="346"/>
      <c r="M5" s="346"/>
      <c r="N5" s="346"/>
      <c r="O5" s="346"/>
      <c r="P5" s="227"/>
      <c r="R5" s="344" t="s">
        <v>112</v>
      </c>
      <c r="S5" s="344"/>
      <c r="T5" s="344"/>
      <c r="U5" s="344"/>
      <c r="Y5" s="344" t="s">
        <v>114</v>
      </c>
      <c r="Z5" s="344"/>
      <c r="AA5" s="344"/>
      <c r="AB5" s="344"/>
    </row>
    <row r="6" spans="1:29" ht="15.75" x14ac:dyDescent="0.25">
      <c r="Q6" s="228"/>
      <c r="R6" s="228"/>
      <c r="S6" s="118">
        <f>'Data Input 1'!$F$6</f>
        <v>2014</v>
      </c>
      <c r="T6" s="118"/>
      <c r="U6" s="229">
        <f>'Data Input 1'!$G$6</f>
        <v>2015</v>
      </c>
      <c r="V6" s="230"/>
      <c r="X6" s="228"/>
      <c r="Y6" s="228"/>
      <c r="Z6" s="118">
        <f>'Data Input 1'!$F$6</f>
        <v>2014</v>
      </c>
      <c r="AA6" s="118"/>
      <c r="AB6" s="229">
        <f>'Data Input 1'!$G$6</f>
        <v>2015</v>
      </c>
      <c r="AC6" s="230"/>
    </row>
    <row r="7" spans="1:29" ht="38.25" x14ac:dyDescent="0.2">
      <c r="Q7" s="231" t="s">
        <v>117</v>
      </c>
      <c r="R7" s="232" t="s">
        <v>110</v>
      </c>
      <c r="S7" s="232" t="s">
        <v>109</v>
      </c>
      <c r="T7" s="232" t="s">
        <v>111</v>
      </c>
      <c r="U7" s="232" t="s">
        <v>108</v>
      </c>
      <c r="V7" s="232" t="s">
        <v>128</v>
      </c>
      <c r="X7" s="231" t="s">
        <v>117</v>
      </c>
      <c r="Y7" s="232" t="s">
        <v>110</v>
      </c>
      <c r="Z7" s="232" t="s">
        <v>109</v>
      </c>
      <c r="AA7" s="232" t="s">
        <v>111</v>
      </c>
      <c r="AB7" s="232" t="s">
        <v>108</v>
      </c>
      <c r="AC7" s="232" t="s">
        <v>128</v>
      </c>
    </row>
    <row r="8" spans="1:29" x14ac:dyDescent="0.2">
      <c r="Q8" s="233">
        <v>0</v>
      </c>
      <c r="R8" s="234">
        <v>0</v>
      </c>
      <c r="S8" s="235">
        <f>'Data Input 1'!$F$8</f>
        <v>16</v>
      </c>
      <c r="T8" s="234">
        <v>0</v>
      </c>
      <c r="U8" s="235">
        <f>'Data Input 1'!$G$8</f>
        <v>20</v>
      </c>
      <c r="V8" s="236">
        <f>(U8-S8)/S8</f>
        <v>0.25</v>
      </c>
      <c r="W8" s="236"/>
      <c r="X8" s="233">
        <v>0</v>
      </c>
      <c r="Y8" s="234">
        <v>0</v>
      </c>
      <c r="Z8" s="235">
        <f>'Data Input 1'!$F$16</f>
        <v>18</v>
      </c>
      <c r="AA8" s="234">
        <v>0</v>
      </c>
      <c r="AB8" s="235">
        <f>'Data Input 1'!$G$16</f>
        <v>22</v>
      </c>
      <c r="AC8" s="236">
        <f>(AB8-Z8)/Z8</f>
        <v>0.22222222222222221</v>
      </c>
    </row>
    <row r="9" spans="1:29" x14ac:dyDescent="0.2">
      <c r="Q9" s="233">
        <v>1000</v>
      </c>
      <c r="R9" s="234">
        <f>IF($Q9&lt;='Data Input 1'!$B$10,0,IF($Q9&lt;='Data Input 1'!$D$10,'Data Input 1'!$F$10,IF($Q9&lt;='Data Input 1'!$D$11,'Data Input 1'!$F$11,IF($Q9&lt;='Data Input 1'!$D$12,'Data Input 1'!$F$12,IF($Q9&lt;='Data Input 1'!$D$13,'Data Input 1'!$F$13,MAX('Data Input 1'!$F$10:$F$14))))))</f>
        <v>2</v>
      </c>
      <c r="S9" s="235">
        <f>S8+R9</f>
        <v>18</v>
      </c>
      <c r="T9" s="234">
        <f>IF($Q9&lt;='Data Input 1'!$B$10,0,IF($Q9&lt;='Data Input 1'!$D$10,'Data Input 1'!$G$10,IF($Q9&lt;='Data Input 1'!$D$11,'Data Input 1'!$G$11,IF($Q9&lt;='Data Input 1'!$D$12,'Data Input 1'!$G$12,IF($Q9&lt;='Data Input 1'!$D$13,'Data Input 1'!$G$13,MAX('Data Input 1'!$G$10:$G$14))))))</f>
        <v>1.75</v>
      </c>
      <c r="U9" s="235">
        <f>U8+T9</f>
        <v>21.75</v>
      </c>
      <c r="V9" s="236">
        <f t="shared" ref="V9:V28" si="0">(U9-S9)/S9</f>
        <v>0.20833333333333334</v>
      </c>
      <c r="X9" s="233">
        <v>1000</v>
      </c>
      <c r="Y9" s="234">
        <f>IF($X9&lt;='Data Input 1'!$B$18,0,IF($X9&lt;='Data Input 1'!$D$18,'Data Input 1'!$F$18,IF($X9&lt;='Data Input 1'!$D$19,'Data Input 1'!$F$19,IF($X9&lt;='Data Input 1'!$D$20,'Data Input 1'!$F$20,IF($X9&lt;='Data Input 1'!$D$21,'Data Input 1'!$F$21,MAX('Data Input 1'!$F$18:$F$22))))))</f>
        <v>2</v>
      </c>
      <c r="Z9" s="235">
        <f>Z8+Y9</f>
        <v>20</v>
      </c>
      <c r="AA9" s="234">
        <f>IF($X9&lt;='Data Input 1'!$B$18,0,IF($X9&lt;='Data Input 1'!$D$18,'Data Input 1'!$G$18,IF($X9&lt;='Data Input 1'!$D$19,'Data Input 1'!$G$19,IF($X9&lt;='Data Input 1'!$D$20,'Data Input 1'!$G$20,IF($X9&lt;='Data Input 1'!$D$21,'Data Input 1'!$G$21,MAX('Data Input 1'!$G$18:$G$22))))))</f>
        <v>1.75</v>
      </c>
      <c r="AB9" s="235">
        <f>AB8+AA9</f>
        <v>23.75</v>
      </c>
      <c r="AC9" s="236">
        <f t="shared" ref="AC9:AC28" si="1">(AB9-Z9)/Z9</f>
        <v>0.1875</v>
      </c>
    </row>
    <row r="10" spans="1:29" x14ac:dyDescent="0.2">
      <c r="Q10" s="233">
        <v>2000</v>
      </c>
      <c r="R10" s="234">
        <f>IF($Q10&lt;='Data Input 1'!$B$10,0,IF($Q10&lt;='Data Input 1'!$D$10,'Data Input 1'!$F$10,IF($Q10&lt;='Data Input 1'!$D$11,'Data Input 1'!$F$11,IF($Q10&lt;='Data Input 1'!$D$12,'Data Input 1'!$F$12,IF($Q10&lt;='Data Input 1'!$D$13,'Data Input 1'!$F$13,MAX('Data Input 1'!$F$10:$F$14))))))</f>
        <v>2</v>
      </c>
      <c r="S10" s="235">
        <f t="shared" ref="S10:S28" si="2">S9+R10</f>
        <v>20</v>
      </c>
      <c r="T10" s="234">
        <f>IF($Q10&lt;='Data Input 1'!$B$10,0,IF($Q10&lt;='Data Input 1'!$D$10,'Data Input 1'!$G$10,IF($Q10&lt;='Data Input 1'!$D$11,'Data Input 1'!$G$11,IF($Q10&lt;='Data Input 1'!$D$12,'Data Input 1'!$G$12,IF($Q10&lt;='Data Input 1'!$D$13,'Data Input 1'!$G$13,MAX('Data Input 1'!$G$10:$G$14))))))</f>
        <v>1.75</v>
      </c>
      <c r="U10" s="235">
        <f t="shared" ref="U10:U28" si="3">U9+T10</f>
        <v>23.5</v>
      </c>
      <c r="V10" s="236">
        <f t="shared" si="0"/>
        <v>0.17499999999999999</v>
      </c>
      <c r="X10" s="233">
        <v>2000</v>
      </c>
      <c r="Y10" s="234">
        <f>IF($X10&lt;='Data Input 1'!$B$18,0,IF($X10&lt;='Data Input 1'!$D$18,'Data Input 1'!$F$18,IF($X10&lt;='Data Input 1'!$D$19,'Data Input 1'!$F$19,IF($X10&lt;='Data Input 1'!$D$20,'Data Input 1'!$F$20,IF($X10&lt;='Data Input 1'!$D$21,'Data Input 1'!$F$21,MAX('Data Input 1'!$F$18:$F$22))))))</f>
        <v>2</v>
      </c>
      <c r="Z10" s="235">
        <f t="shared" ref="Z10:Z28" si="4">Z9+Y10</f>
        <v>22</v>
      </c>
      <c r="AA10" s="234">
        <f>IF($X10&lt;='Data Input 1'!$B$18,0,IF($X10&lt;='Data Input 1'!$D$18,'Data Input 1'!$G$18,IF($X10&lt;='Data Input 1'!$D$19,'Data Input 1'!$G$19,IF($X10&lt;='Data Input 1'!$D$20,'Data Input 1'!$G$20,IF($X10&lt;='Data Input 1'!$D$21,'Data Input 1'!$G$21,MAX('Data Input 1'!$G$18:$G$22))))))</f>
        <v>1.75</v>
      </c>
      <c r="AB10" s="235">
        <f t="shared" ref="AB10:AB28" si="5">AB9+AA10</f>
        <v>25.5</v>
      </c>
      <c r="AC10" s="236">
        <f t="shared" si="1"/>
        <v>0.15909090909090909</v>
      </c>
    </row>
    <row r="11" spans="1:29" x14ac:dyDescent="0.2">
      <c r="Q11" s="233">
        <v>3000</v>
      </c>
      <c r="R11" s="234">
        <f>IF($Q11&lt;='Data Input 1'!$B$10,0,IF($Q11&lt;='Data Input 1'!$D$10,'Data Input 1'!$F$10,IF($Q11&lt;='Data Input 1'!$D$11,'Data Input 1'!$F$11,IF($Q11&lt;='Data Input 1'!$D$12,'Data Input 1'!$F$12,IF($Q11&lt;='Data Input 1'!$D$13,'Data Input 1'!$F$13,MAX('Data Input 1'!$F$10:$F$14))))))</f>
        <v>2</v>
      </c>
      <c r="S11" s="235">
        <f t="shared" si="2"/>
        <v>22</v>
      </c>
      <c r="T11" s="234">
        <f>IF($Q11&lt;='Data Input 1'!$B$10,0,IF($Q11&lt;='Data Input 1'!$D$10,'Data Input 1'!$G$10,IF($Q11&lt;='Data Input 1'!$D$11,'Data Input 1'!$G$11,IF($Q11&lt;='Data Input 1'!$D$12,'Data Input 1'!$G$12,IF($Q11&lt;='Data Input 1'!$D$13,'Data Input 1'!$G$13,MAX('Data Input 1'!$G$10:$G$14))))))</f>
        <v>1.75</v>
      </c>
      <c r="U11" s="235">
        <f t="shared" si="3"/>
        <v>25.25</v>
      </c>
      <c r="V11" s="236">
        <f t="shared" si="0"/>
        <v>0.14772727272727273</v>
      </c>
      <c r="X11" s="233">
        <v>3000</v>
      </c>
      <c r="Y11" s="234">
        <f>IF($X11&lt;='Data Input 1'!$B$18,0,IF($X11&lt;='Data Input 1'!$D$18,'Data Input 1'!$F$18,IF($X11&lt;='Data Input 1'!$D$19,'Data Input 1'!$F$19,IF($X11&lt;='Data Input 1'!$D$20,'Data Input 1'!$F$20,IF($X11&lt;='Data Input 1'!$D$21,'Data Input 1'!$F$21,MAX('Data Input 1'!$F$18:$F$22))))))</f>
        <v>2</v>
      </c>
      <c r="Z11" s="235">
        <f t="shared" si="4"/>
        <v>24</v>
      </c>
      <c r="AA11" s="234">
        <f>IF($X11&lt;='Data Input 1'!$B$18,0,IF($X11&lt;='Data Input 1'!$D$18,'Data Input 1'!$G$18,IF($X11&lt;='Data Input 1'!$D$19,'Data Input 1'!$G$19,IF($X11&lt;='Data Input 1'!$D$20,'Data Input 1'!$G$20,IF($X11&lt;='Data Input 1'!$D$21,'Data Input 1'!$G$21,MAX('Data Input 1'!$G$18:$G$22))))))</f>
        <v>1.75</v>
      </c>
      <c r="AB11" s="235">
        <f t="shared" si="5"/>
        <v>27.25</v>
      </c>
      <c r="AC11" s="236">
        <f t="shared" si="1"/>
        <v>0.13541666666666666</v>
      </c>
    </row>
    <row r="12" spans="1:29" x14ac:dyDescent="0.2">
      <c r="Q12" s="233">
        <v>4000</v>
      </c>
      <c r="R12" s="234">
        <f>IF($Q12&lt;='Data Input 1'!$B$10,0,IF($Q12&lt;='Data Input 1'!$D$10,'Data Input 1'!$F$10,IF($Q12&lt;='Data Input 1'!$D$11,'Data Input 1'!$F$11,IF($Q12&lt;='Data Input 1'!$D$12,'Data Input 1'!$F$12,IF($Q12&lt;='Data Input 1'!$D$13,'Data Input 1'!$F$13,MAX('Data Input 1'!$F$10:$F$14))))))</f>
        <v>2</v>
      </c>
      <c r="S12" s="235">
        <f t="shared" si="2"/>
        <v>24</v>
      </c>
      <c r="T12" s="234">
        <f>IF($Q12&lt;='Data Input 1'!$B$10,0,IF($Q12&lt;='Data Input 1'!$D$10,'Data Input 1'!$G$10,IF($Q12&lt;='Data Input 1'!$D$11,'Data Input 1'!$G$11,IF($Q12&lt;='Data Input 1'!$D$12,'Data Input 1'!$G$12,IF($Q12&lt;='Data Input 1'!$D$13,'Data Input 1'!$G$13,MAX('Data Input 1'!$G$10:$G$14))))))</f>
        <v>2.25</v>
      </c>
      <c r="U12" s="235">
        <f t="shared" si="3"/>
        <v>27.5</v>
      </c>
      <c r="V12" s="236">
        <f t="shared" si="0"/>
        <v>0.14583333333333334</v>
      </c>
      <c r="X12" s="233">
        <v>4000</v>
      </c>
      <c r="Y12" s="234">
        <f>IF($X12&lt;='Data Input 1'!$B$18,0,IF($X12&lt;='Data Input 1'!$D$18,'Data Input 1'!$F$18,IF($X12&lt;='Data Input 1'!$D$19,'Data Input 1'!$F$19,IF($X12&lt;='Data Input 1'!$D$20,'Data Input 1'!$F$20,IF($X12&lt;='Data Input 1'!$D$21,'Data Input 1'!$F$21,MAX('Data Input 1'!$F$18:$F$22))))))</f>
        <v>2</v>
      </c>
      <c r="Z12" s="235">
        <f t="shared" si="4"/>
        <v>26</v>
      </c>
      <c r="AA12" s="234">
        <f>IF($X12&lt;='Data Input 1'!$B$18,0,IF($X12&lt;='Data Input 1'!$D$18,'Data Input 1'!$G$18,IF($X12&lt;='Data Input 1'!$D$19,'Data Input 1'!$G$19,IF($X12&lt;='Data Input 1'!$D$20,'Data Input 1'!$G$20,IF($X12&lt;='Data Input 1'!$D$21,'Data Input 1'!$G$21,MAX('Data Input 1'!$G$18:$G$22))))))</f>
        <v>2.25</v>
      </c>
      <c r="AB12" s="235">
        <f t="shared" si="5"/>
        <v>29.5</v>
      </c>
      <c r="AC12" s="236">
        <f t="shared" si="1"/>
        <v>0.13461538461538461</v>
      </c>
    </row>
    <row r="13" spans="1:29" x14ac:dyDescent="0.2">
      <c r="Q13" s="233">
        <v>5000</v>
      </c>
      <c r="R13" s="234">
        <f>IF($Q13&lt;='Data Input 1'!$B$10,0,IF($Q13&lt;='Data Input 1'!$D$10,'Data Input 1'!$F$10,IF($Q13&lt;='Data Input 1'!$D$11,'Data Input 1'!$F$11,IF($Q13&lt;='Data Input 1'!$D$12,'Data Input 1'!$F$12,IF($Q13&lt;='Data Input 1'!$D$13,'Data Input 1'!$F$13,MAX('Data Input 1'!$F$10:$F$14))))))</f>
        <v>2</v>
      </c>
      <c r="S13" s="235">
        <f t="shared" si="2"/>
        <v>26</v>
      </c>
      <c r="T13" s="234">
        <f>IF($Q13&lt;='Data Input 1'!$B$10,0,IF($Q13&lt;='Data Input 1'!$D$10,'Data Input 1'!$G$10,IF($Q13&lt;='Data Input 1'!$D$11,'Data Input 1'!$G$11,IF($Q13&lt;='Data Input 1'!$D$12,'Data Input 1'!$G$12,IF($Q13&lt;='Data Input 1'!$D$13,'Data Input 1'!$G$13,MAX('Data Input 1'!$G$10:$G$14))))))</f>
        <v>2.25</v>
      </c>
      <c r="U13" s="235">
        <f t="shared" si="3"/>
        <v>29.75</v>
      </c>
      <c r="V13" s="236">
        <f t="shared" si="0"/>
        <v>0.14423076923076922</v>
      </c>
      <c r="X13" s="233">
        <v>5000</v>
      </c>
      <c r="Y13" s="234">
        <f>IF($X13&lt;='Data Input 1'!$B$18,0,IF($X13&lt;='Data Input 1'!$D$18,'Data Input 1'!$F$18,IF($X13&lt;='Data Input 1'!$D$19,'Data Input 1'!$F$19,IF($X13&lt;='Data Input 1'!$D$20,'Data Input 1'!$F$20,IF($X13&lt;='Data Input 1'!$D$21,'Data Input 1'!$F$21,MAX('Data Input 1'!$F$18:$F$22))))))</f>
        <v>2</v>
      </c>
      <c r="Z13" s="235">
        <f t="shared" si="4"/>
        <v>28</v>
      </c>
      <c r="AA13" s="234">
        <f>IF($X13&lt;='Data Input 1'!$B$18,0,IF($X13&lt;='Data Input 1'!$D$18,'Data Input 1'!$G$18,IF($X13&lt;='Data Input 1'!$D$19,'Data Input 1'!$G$19,IF($X13&lt;='Data Input 1'!$D$20,'Data Input 1'!$G$20,IF($X13&lt;='Data Input 1'!$D$21,'Data Input 1'!$G$21,MAX('Data Input 1'!$G$18:$G$22))))))</f>
        <v>2.25</v>
      </c>
      <c r="AB13" s="235">
        <f t="shared" si="5"/>
        <v>31.75</v>
      </c>
      <c r="AC13" s="236">
        <f t="shared" si="1"/>
        <v>0.13392857142857142</v>
      </c>
    </row>
    <row r="14" spans="1:29" x14ac:dyDescent="0.2">
      <c r="Q14" s="233">
        <v>6000</v>
      </c>
      <c r="R14" s="234">
        <f>IF($Q14&lt;='Data Input 1'!$B$10,0,IF($Q14&lt;='Data Input 1'!$D$10,'Data Input 1'!$F$10,IF($Q14&lt;='Data Input 1'!$D$11,'Data Input 1'!$F$11,IF($Q14&lt;='Data Input 1'!$D$12,'Data Input 1'!$F$12,IF($Q14&lt;='Data Input 1'!$D$13,'Data Input 1'!$F$13,MAX('Data Input 1'!$F$10:$F$14))))))</f>
        <v>2</v>
      </c>
      <c r="S14" s="235">
        <f t="shared" si="2"/>
        <v>28</v>
      </c>
      <c r="T14" s="234">
        <f>IF($Q14&lt;='Data Input 1'!$B$10,0,IF($Q14&lt;='Data Input 1'!$D$10,'Data Input 1'!$G$10,IF($Q14&lt;='Data Input 1'!$D$11,'Data Input 1'!$G$11,IF($Q14&lt;='Data Input 1'!$D$12,'Data Input 1'!$G$12,IF($Q14&lt;='Data Input 1'!$D$13,'Data Input 1'!$G$13,MAX('Data Input 1'!$G$10:$G$14))))))</f>
        <v>2.25</v>
      </c>
      <c r="U14" s="235">
        <f t="shared" si="3"/>
        <v>32</v>
      </c>
      <c r="V14" s="236">
        <f t="shared" si="0"/>
        <v>0.14285714285714285</v>
      </c>
      <c r="X14" s="233">
        <v>6000</v>
      </c>
      <c r="Y14" s="234">
        <f>IF($X14&lt;='Data Input 1'!$B$18,0,IF($X14&lt;='Data Input 1'!$D$18,'Data Input 1'!$F$18,IF($X14&lt;='Data Input 1'!$D$19,'Data Input 1'!$F$19,IF($X14&lt;='Data Input 1'!$D$20,'Data Input 1'!$F$20,IF($X14&lt;='Data Input 1'!$D$21,'Data Input 1'!$F$21,MAX('Data Input 1'!$F$18:$F$22))))))</f>
        <v>2</v>
      </c>
      <c r="Z14" s="235">
        <f t="shared" si="4"/>
        <v>30</v>
      </c>
      <c r="AA14" s="234">
        <f>IF($X14&lt;='Data Input 1'!$B$18,0,IF($X14&lt;='Data Input 1'!$D$18,'Data Input 1'!$G$18,IF($X14&lt;='Data Input 1'!$D$19,'Data Input 1'!$G$19,IF($X14&lt;='Data Input 1'!$D$20,'Data Input 1'!$G$20,IF($X14&lt;='Data Input 1'!$D$21,'Data Input 1'!$G$21,MAX('Data Input 1'!$G$18:$G$22))))))</f>
        <v>2.25</v>
      </c>
      <c r="AB14" s="235">
        <f t="shared" si="5"/>
        <v>34</v>
      </c>
      <c r="AC14" s="236">
        <f t="shared" si="1"/>
        <v>0.13333333333333333</v>
      </c>
    </row>
    <row r="15" spans="1:29" x14ac:dyDescent="0.2">
      <c r="Q15" s="233">
        <v>7000</v>
      </c>
      <c r="R15" s="234">
        <f>IF($Q15&lt;='Data Input 1'!$B$10,0,IF($Q15&lt;='Data Input 1'!$D$10,'Data Input 1'!$F$10,IF($Q15&lt;='Data Input 1'!$D$11,'Data Input 1'!$F$11,IF($Q15&lt;='Data Input 1'!$D$12,'Data Input 1'!$F$12,IF($Q15&lt;='Data Input 1'!$D$13,'Data Input 1'!$F$13,MAX('Data Input 1'!$F$10:$F$14))))))</f>
        <v>2</v>
      </c>
      <c r="S15" s="235">
        <f t="shared" si="2"/>
        <v>30</v>
      </c>
      <c r="T15" s="234">
        <f>IF($Q15&lt;='Data Input 1'!$B$10,0,IF($Q15&lt;='Data Input 1'!$D$10,'Data Input 1'!$G$10,IF($Q15&lt;='Data Input 1'!$D$11,'Data Input 1'!$G$11,IF($Q15&lt;='Data Input 1'!$D$12,'Data Input 1'!$G$12,IF($Q15&lt;='Data Input 1'!$D$13,'Data Input 1'!$G$13,MAX('Data Input 1'!$G$10:$G$14))))))</f>
        <v>2.25</v>
      </c>
      <c r="U15" s="235">
        <f t="shared" si="3"/>
        <v>34.25</v>
      </c>
      <c r="V15" s="236">
        <f t="shared" si="0"/>
        <v>0.14166666666666666</v>
      </c>
      <c r="X15" s="233">
        <v>7000</v>
      </c>
      <c r="Y15" s="234">
        <f>IF($X15&lt;='Data Input 1'!$B$18,0,IF($X15&lt;='Data Input 1'!$D$18,'Data Input 1'!$F$18,IF($X15&lt;='Data Input 1'!$D$19,'Data Input 1'!$F$19,IF($X15&lt;='Data Input 1'!$D$20,'Data Input 1'!$F$20,IF($X15&lt;='Data Input 1'!$D$21,'Data Input 1'!$F$21,MAX('Data Input 1'!$F$18:$F$22))))))</f>
        <v>2</v>
      </c>
      <c r="Z15" s="235">
        <f t="shared" si="4"/>
        <v>32</v>
      </c>
      <c r="AA15" s="234">
        <f>IF($X15&lt;='Data Input 1'!$B$18,0,IF($X15&lt;='Data Input 1'!$D$18,'Data Input 1'!$G$18,IF($X15&lt;='Data Input 1'!$D$19,'Data Input 1'!$G$19,IF($X15&lt;='Data Input 1'!$D$20,'Data Input 1'!$G$20,IF($X15&lt;='Data Input 1'!$D$21,'Data Input 1'!$G$21,MAX('Data Input 1'!$G$18:$G$22))))))</f>
        <v>2.25</v>
      </c>
      <c r="AB15" s="235">
        <f t="shared" si="5"/>
        <v>36.25</v>
      </c>
      <c r="AC15" s="236">
        <f t="shared" si="1"/>
        <v>0.1328125</v>
      </c>
    </row>
    <row r="16" spans="1:29" x14ac:dyDescent="0.2">
      <c r="Q16" s="233">
        <v>8000</v>
      </c>
      <c r="R16" s="234">
        <f>IF($Q16&lt;='Data Input 1'!$B$10,0,IF($Q16&lt;='Data Input 1'!$D$10,'Data Input 1'!$F$10,IF($Q16&lt;='Data Input 1'!$D$11,'Data Input 1'!$F$11,IF($Q16&lt;='Data Input 1'!$D$12,'Data Input 1'!$F$12,IF($Q16&lt;='Data Input 1'!$D$13,'Data Input 1'!$F$13,MAX('Data Input 1'!$F$10:$F$14))))))</f>
        <v>2</v>
      </c>
      <c r="S16" s="235">
        <f t="shared" si="2"/>
        <v>32</v>
      </c>
      <c r="T16" s="234">
        <f>IF($Q16&lt;='Data Input 1'!$B$10,0,IF($Q16&lt;='Data Input 1'!$D$10,'Data Input 1'!$G$10,IF($Q16&lt;='Data Input 1'!$D$11,'Data Input 1'!$G$11,IF($Q16&lt;='Data Input 1'!$D$12,'Data Input 1'!$G$12,IF($Q16&lt;='Data Input 1'!$D$13,'Data Input 1'!$G$13,MAX('Data Input 1'!$G$10:$G$14))))))</f>
        <v>2.25</v>
      </c>
      <c r="U16" s="235">
        <f t="shared" si="3"/>
        <v>36.5</v>
      </c>
      <c r="V16" s="236">
        <f t="shared" si="0"/>
        <v>0.140625</v>
      </c>
      <c r="X16" s="233">
        <v>8000</v>
      </c>
      <c r="Y16" s="234">
        <f>IF($X16&lt;='Data Input 1'!$B$18,0,IF($X16&lt;='Data Input 1'!$D$18,'Data Input 1'!$F$18,IF($X16&lt;='Data Input 1'!$D$19,'Data Input 1'!$F$19,IF($X16&lt;='Data Input 1'!$D$20,'Data Input 1'!$F$20,IF($X16&lt;='Data Input 1'!$D$21,'Data Input 1'!$F$21,MAX('Data Input 1'!$F$18:$F$22))))))</f>
        <v>2</v>
      </c>
      <c r="Z16" s="235">
        <f t="shared" si="4"/>
        <v>34</v>
      </c>
      <c r="AA16" s="234">
        <f>IF($X16&lt;='Data Input 1'!$B$18,0,IF($X16&lt;='Data Input 1'!$D$18,'Data Input 1'!$G$18,IF($X16&lt;='Data Input 1'!$D$19,'Data Input 1'!$G$19,IF($X16&lt;='Data Input 1'!$D$20,'Data Input 1'!$G$20,IF($X16&lt;='Data Input 1'!$D$21,'Data Input 1'!$G$21,MAX('Data Input 1'!$G$18:$G$22))))))</f>
        <v>2.25</v>
      </c>
      <c r="AB16" s="235">
        <f t="shared" si="5"/>
        <v>38.5</v>
      </c>
      <c r="AC16" s="236">
        <f t="shared" si="1"/>
        <v>0.13235294117647059</v>
      </c>
    </row>
    <row r="17" spans="1:29" x14ac:dyDescent="0.2">
      <c r="Q17" s="233">
        <v>9000</v>
      </c>
      <c r="R17" s="234">
        <f>IF($Q17&lt;='Data Input 1'!$B$10,0,IF($Q17&lt;='Data Input 1'!$D$10,'Data Input 1'!$F$10,IF($Q17&lt;='Data Input 1'!$D$11,'Data Input 1'!$F$11,IF($Q17&lt;='Data Input 1'!$D$12,'Data Input 1'!$F$12,IF($Q17&lt;='Data Input 1'!$D$13,'Data Input 1'!$F$13,MAX('Data Input 1'!$F$10:$F$14))))))</f>
        <v>2</v>
      </c>
      <c r="S17" s="235">
        <f t="shared" si="2"/>
        <v>34</v>
      </c>
      <c r="T17" s="234">
        <f>IF($Q17&lt;='Data Input 1'!$B$10,0,IF($Q17&lt;='Data Input 1'!$D$10,'Data Input 1'!$G$10,IF($Q17&lt;='Data Input 1'!$D$11,'Data Input 1'!$G$11,IF($Q17&lt;='Data Input 1'!$D$12,'Data Input 1'!$G$12,IF($Q17&lt;='Data Input 1'!$D$13,'Data Input 1'!$G$13,MAX('Data Input 1'!$G$10:$G$14))))))</f>
        <v>4.25</v>
      </c>
      <c r="U17" s="235">
        <f t="shared" si="3"/>
        <v>40.75</v>
      </c>
      <c r="V17" s="236">
        <f t="shared" si="0"/>
        <v>0.19852941176470587</v>
      </c>
      <c r="X17" s="233">
        <v>9000</v>
      </c>
      <c r="Y17" s="234">
        <f>IF($X17&lt;='Data Input 1'!$B$18,0,IF($X17&lt;='Data Input 1'!$D$18,'Data Input 1'!$F$18,IF($X17&lt;='Data Input 1'!$D$19,'Data Input 1'!$F$19,IF($X17&lt;='Data Input 1'!$D$20,'Data Input 1'!$F$20,IF($X17&lt;='Data Input 1'!$D$21,'Data Input 1'!$F$21,MAX('Data Input 1'!$F$18:$F$22))))))</f>
        <v>2</v>
      </c>
      <c r="Z17" s="235">
        <f t="shared" si="4"/>
        <v>36</v>
      </c>
      <c r="AA17" s="234">
        <f>IF($X17&lt;='Data Input 1'!$B$18,0,IF($X17&lt;='Data Input 1'!$D$18,'Data Input 1'!$G$18,IF($X17&lt;='Data Input 1'!$D$19,'Data Input 1'!$G$19,IF($X17&lt;='Data Input 1'!$D$20,'Data Input 1'!$G$20,IF($X17&lt;='Data Input 1'!$D$21,'Data Input 1'!$G$21,MAX('Data Input 1'!$G$18:$G$22))))))</f>
        <v>4.25</v>
      </c>
      <c r="AB17" s="235">
        <f t="shared" si="5"/>
        <v>42.75</v>
      </c>
      <c r="AC17" s="236">
        <f t="shared" si="1"/>
        <v>0.1875</v>
      </c>
    </row>
    <row r="18" spans="1:29" x14ac:dyDescent="0.2">
      <c r="Q18" s="233">
        <v>10000</v>
      </c>
      <c r="R18" s="234">
        <f>IF($Q18&lt;='Data Input 1'!$B$10,0,IF($Q18&lt;='Data Input 1'!$D$10,'Data Input 1'!$F$10,IF($Q18&lt;='Data Input 1'!$D$11,'Data Input 1'!$F$11,IF($Q18&lt;='Data Input 1'!$D$12,'Data Input 1'!$F$12,IF($Q18&lt;='Data Input 1'!$D$13,'Data Input 1'!$F$13,MAX('Data Input 1'!$F$10:$F$14))))))</f>
        <v>2</v>
      </c>
      <c r="S18" s="235">
        <f t="shared" si="2"/>
        <v>36</v>
      </c>
      <c r="T18" s="234">
        <f>IF($Q18&lt;='Data Input 1'!$B$10,0,IF($Q18&lt;='Data Input 1'!$D$10,'Data Input 1'!$G$10,IF($Q18&lt;='Data Input 1'!$D$11,'Data Input 1'!$G$11,IF($Q18&lt;='Data Input 1'!$D$12,'Data Input 1'!$G$12,IF($Q18&lt;='Data Input 1'!$D$13,'Data Input 1'!$G$13,MAX('Data Input 1'!$G$10:$G$14))))))</f>
        <v>4.25</v>
      </c>
      <c r="U18" s="235">
        <f t="shared" si="3"/>
        <v>45</v>
      </c>
      <c r="V18" s="236">
        <f t="shared" si="0"/>
        <v>0.25</v>
      </c>
      <c r="X18" s="233">
        <v>10000</v>
      </c>
      <c r="Y18" s="234">
        <f>IF($X18&lt;='Data Input 1'!$B$18,0,IF($X18&lt;='Data Input 1'!$D$18,'Data Input 1'!$F$18,IF($X18&lt;='Data Input 1'!$D$19,'Data Input 1'!$F$19,IF($X18&lt;='Data Input 1'!$D$20,'Data Input 1'!$F$20,IF($X18&lt;='Data Input 1'!$D$21,'Data Input 1'!$F$21,MAX('Data Input 1'!$F$18:$F$22))))))</f>
        <v>2</v>
      </c>
      <c r="Z18" s="235">
        <f t="shared" si="4"/>
        <v>38</v>
      </c>
      <c r="AA18" s="234">
        <f>IF($X18&lt;='Data Input 1'!$B$18,0,IF($X18&lt;='Data Input 1'!$D$18,'Data Input 1'!$G$18,IF($X18&lt;='Data Input 1'!$D$19,'Data Input 1'!$G$19,IF($X18&lt;='Data Input 1'!$D$20,'Data Input 1'!$G$20,IF($X18&lt;='Data Input 1'!$D$21,'Data Input 1'!$G$21,MAX('Data Input 1'!$G$18:$G$22))))))</f>
        <v>4.25</v>
      </c>
      <c r="AB18" s="235">
        <f t="shared" si="5"/>
        <v>47</v>
      </c>
      <c r="AC18" s="236">
        <f t="shared" si="1"/>
        <v>0.23684210526315788</v>
      </c>
    </row>
    <row r="19" spans="1:29" x14ac:dyDescent="0.2">
      <c r="Q19" s="233">
        <v>11000</v>
      </c>
      <c r="R19" s="234">
        <f>IF($Q19&lt;='Data Input 1'!$B$10,0,IF($Q19&lt;='Data Input 1'!$D$10,'Data Input 1'!$F$10,IF($Q19&lt;='Data Input 1'!$D$11,'Data Input 1'!$F$11,IF($Q19&lt;='Data Input 1'!$D$12,'Data Input 1'!$F$12,IF($Q19&lt;='Data Input 1'!$D$13,'Data Input 1'!$F$13,MAX('Data Input 1'!$F$10:$F$14))))))</f>
        <v>2</v>
      </c>
      <c r="S19" s="235">
        <f t="shared" si="2"/>
        <v>38</v>
      </c>
      <c r="T19" s="234">
        <f>IF($Q19&lt;='Data Input 1'!$B$10,0,IF($Q19&lt;='Data Input 1'!$D$10,'Data Input 1'!$G$10,IF($Q19&lt;='Data Input 1'!$D$11,'Data Input 1'!$G$11,IF($Q19&lt;='Data Input 1'!$D$12,'Data Input 1'!$G$12,IF($Q19&lt;='Data Input 1'!$D$13,'Data Input 1'!$G$13,MAX('Data Input 1'!$G$10:$G$14))))))</f>
        <v>4.25</v>
      </c>
      <c r="U19" s="235">
        <f t="shared" si="3"/>
        <v>49.25</v>
      </c>
      <c r="V19" s="236">
        <f t="shared" si="0"/>
        <v>0.29605263157894735</v>
      </c>
      <c r="X19" s="233">
        <v>11000</v>
      </c>
      <c r="Y19" s="234">
        <f>IF($X19&lt;='Data Input 1'!$B$18,0,IF($X19&lt;='Data Input 1'!$D$18,'Data Input 1'!$F$18,IF($X19&lt;='Data Input 1'!$D$19,'Data Input 1'!$F$19,IF($X19&lt;='Data Input 1'!$D$20,'Data Input 1'!$F$20,IF($X19&lt;='Data Input 1'!$D$21,'Data Input 1'!$F$21,MAX('Data Input 1'!$F$18:$F$22))))))</f>
        <v>2</v>
      </c>
      <c r="Z19" s="235">
        <f t="shared" si="4"/>
        <v>40</v>
      </c>
      <c r="AA19" s="234">
        <f>IF($X19&lt;='Data Input 1'!$B$18,0,IF($X19&lt;='Data Input 1'!$D$18,'Data Input 1'!$G$18,IF($X19&lt;='Data Input 1'!$D$19,'Data Input 1'!$G$19,IF($X19&lt;='Data Input 1'!$D$20,'Data Input 1'!$G$20,IF($X19&lt;='Data Input 1'!$D$21,'Data Input 1'!$G$21,MAX('Data Input 1'!$G$18:$G$22))))))</f>
        <v>4.25</v>
      </c>
      <c r="AB19" s="235">
        <f t="shared" si="5"/>
        <v>51.25</v>
      </c>
      <c r="AC19" s="236">
        <f t="shared" si="1"/>
        <v>0.28125</v>
      </c>
    </row>
    <row r="20" spans="1:29" x14ac:dyDescent="0.2">
      <c r="Q20" s="233">
        <v>12000</v>
      </c>
      <c r="R20" s="234">
        <f>IF($Q20&lt;='Data Input 1'!$B$10,0,IF($Q20&lt;='Data Input 1'!$D$10,'Data Input 1'!$F$10,IF($Q20&lt;='Data Input 1'!$D$11,'Data Input 1'!$F$11,IF($Q20&lt;='Data Input 1'!$D$12,'Data Input 1'!$F$12,IF($Q20&lt;='Data Input 1'!$D$13,'Data Input 1'!$F$13,MAX('Data Input 1'!$F$10:$F$14))))))</f>
        <v>2</v>
      </c>
      <c r="S20" s="235">
        <f t="shared" si="2"/>
        <v>40</v>
      </c>
      <c r="T20" s="234">
        <f>IF($Q20&lt;='Data Input 1'!$B$10,0,IF($Q20&lt;='Data Input 1'!$D$10,'Data Input 1'!$G$10,IF($Q20&lt;='Data Input 1'!$D$11,'Data Input 1'!$G$11,IF($Q20&lt;='Data Input 1'!$D$12,'Data Input 1'!$G$12,IF($Q20&lt;='Data Input 1'!$D$13,'Data Input 1'!$G$13,MAX('Data Input 1'!$G$10:$G$14))))))</f>
        <v>4.25</v>
      </c>
      <c r="U20" s="235">
        <f t="shared" si="3"/>
        <v>53.5</v>
      </c>
      <c r="V20" s="236">
        <f t="shared" si="0"/>
        <v>0.33750000000000002</v>
      </c>
      <c r="X20" s="233">
        <v>12000</v>
      </c>
      <c r="Y20" s="234">
        <f>IF($X20&lt;='Data Input 1'!$B$18,0,IF($X20&lt;='Data Input 1'!$D$18,'Data Input 1'!$F$18,IF($X20&lt;='Data Input 1'!$D$19,'Data Input 1'!$F$19,IF($X20&lt;='Data Input 1'!$D$20,'Data Input 1'!$F$20,IF($X20&lt;='Data Input 1'!$D$21,'Data Input 1'!$F$21,MAX('Data Input 1'!$F$18:$F$22))))))</f>
        <v>2</v>
      </c>
      <c r="Z20" s="235">
        <f t="shared" si="4"/>
        <v>42</v>
      </c>
      <c r="AA20" s="234">
        <f>IF($X20&lt;='Data Input 1'!$B$18,0,IF($X20&lt;='Data Input 1'!$D$18,'Data Input 1'!$G$18,IF($X20&lt;='Data Input 1'!$D$19,'Data Input 1'!$G$19,IF($X20&lt;='Data Input 1'!$D$20,'Data Input 1'!$G$20,IF($X20&lt;='Data Input 1'!$D$21,'Data Input 1'!$G$21,MAX('Data Input 1'!$G$18:$G$22))))))</f>
        <v>4.25</v>
      </c>
      <c r="AB20" s="235">
        <f t="shared" si="5"/>
        <v>55.5</v>
      </c>
      <c r="AC20" s="236">
        <f t="shared" si="1"/>
        <v>0.32142857142857145</v>
      </c>
    </row>
    <row r="21" spans="1:29" x14ac:dyDescent="0.2">
      <c r="Q21" s="233">
        <v>13000</v>
      </c>
      <c r="R21" s="234">
        <f>IF($Q21&lt;='Data Input 1'!$B$10,0,IF($Q21&lt;='Data Input 1'!$D$10,'Data Input 1'!$F$10,IF($Q21&lt;='Data Input 1'!$D$11,'Data Input 1'!$F$11,IF($Q21&lt;='Data Input 1'!$D$12,'Data Input 1'!$F$12,IF($Q21&lt;='Data Input 1'!$D$13,'Data Input 1'!$F$13,MAX('Data Input 1'!$F$10:$F$14))))))</f>
        <v>2</v>
      </c>
      <c r="S21" s="235">
        <f t="shared" si="2"/>
        <v>42</v>
      </c>
      <c r="T21" s="234">
        <f>IF($Q21&lt;='Data Input 1'!$B$10,0,IF($Q21&lt;='Data Input 1'!$D$10,'Data Input 1'!$G$10,IF($Q21&lt;='Data Input 1'!$D$11,'Data Input 1'!$G$11,IF($Q21&lt;='Data Input 1'!$D$12,'Data Input 1'!$G$12,IF($Q21&lt;='Data Input 1'!$D$13,'Data Input 1'!$G$13,MAX('Data Input 1'!$G$10:$G$14))))))</f>
        <v>4.25</v>
      </c>
      <c r="U21" s="235">
        <f t="shared" si="3"/>
        <v>57.75</v>
      </c>
      <c r="V21" s="236">
        <f t="shared" si="0"/>
        <v>0.375</v>
      </c>
      <c r="X21" s="233">
        <v>13000</v>
      </c>
      <c r="Y21" s="234">
        <f>IF($X21&lt;='Data Input 1'!$B$18,0,IF($X21&lt;='Data Input 1'!$D$18,'Data Input 1'!$F$18,IF($X21&lt;='Data Input 1'!$D$19,'Data Input 1'!$F$19,IF($X21&lt;='Data Input 1'!$D$20,'Data Input 1'!$F$20,IF($X21&lt;='Data Input 1'!$D$21,'Data Input 1'!$F$21,MAX('Data Input 1'!$F$18:$F$22))))))</f>
        <v>2</v>
      </c>
      <c r="Z21" s="235">
        <f t="shared" si="4"/>
        <v>44</v>
      </c>
      <c r="AA21" s="234">
        <f>IF($X21&lt;='Data Input 1'!$B$18,0,IF($X21&lt;='Data Input 1'!$D$18,'Data Input 1'!$G$18,IF($X21&lt;='Data Input 1'!$D$19,'Data Input 1'!$G$19,IF($X21&lt;='Data Input 1'!$D$20,'Data Input 1'!$G$20,IF($X21&lt;='Data Input 1'!$D$21,'Data Input 1'!$G$21,MAX('Data Input 1'!$G$18:$G$22))))))</f>
        <v>4.25</v>
      </c>
      <c r="AB21" s="235">
        <f t="shared" si="5"/>
        <v>59.75</v>
      </c>
      <c r="AC21" s="236">
        <f t="shared" si="1"/>
        <v>0.35795454545454547</v>
      </c>
    </row>
    <row r="22" spans="1:29" x14ac:dyDescent="0.2">
      <c r="Q22" s="233">
        <v>14000</v>
      </c>
      <c r="R22" s="234">
        <f>IF($Q22&lt;='Data Input 1'!$B$10,0,IF($Q22&lt;='Data Input 1'!$D$10,'Data Input 1'!$F$10,IF($Q22&lt;='Data Input 1'!$D$11,'Data Input 1'!$F$11,IF($Q22&lt;='Data Input 1'!$D$12,'Data Input 1'!$F$12,IF($Q22&lt;='Data Input 1'!$D$13,'Data Input 1'!$F$13,MAX('Data Input 1'!$F$10:$F$14))))))</f>
        <v>2</v>
      </c>
      <c r="S22" s="235">
        <f t="shared" si="2"/>
        <v>44</v>
      </c>
      <c r="T22" s="234">
        <f>IF($Q22&lt;='Data Input 1'!$B$10,0,IF($Q22&lt;='Data Input 1'!$D$10,'Data Input 1'!$G$10,IF($Q22&lt;='Data Input 1'!$D$11,'Data Input 1'!$G$11,IF($Q22&lt;='Data Input 1'!$D$12,'Data Input 1'!$G$12,IF($Q22&lt;='Data Input 1'!$D$13,'Data Input 1'!$G$13,MAX('Data Input 1'!$G$10:$G$14))))))</f>
        <v>4.25</v>
      </c>
      <c r="U22" s="235">
        <f t="shared" si="3"/>
        <v>62</v>
      </c>
      <c r="V22" s="236">
        <f t="shared" si="0"/>
        <v>0.40909090909090912</v>
      </c>
      <c r="X22" s="233">
        <v>14000</v>
      </c>
      <c r="Y22" s="234">
        <f>IF($X22&lt;='Data Input 1'!$B$18,0,IF($X22&lt;='Data Input 1'!$D$18,'Data Input 1'!$F$18,IF($X22&lt;='Data Input 1'!$D$19,'Data Input 1'!$F$19,IF($X22&lt;='Data Input 1'!$D$20,'Data Input 1'!$F$20,IF($X22&lt;='Data Input 1'!$D$21,'Data Input 1'!$F$21,MAX('Data Input 1'!$F$18:$F$22))))))</f>
        <v>2</v>
      </c>
      <c r="Z22" s="235">
        <f t="shared" si="4"/>
        <v>46</v>
      </c>
      <c r="AA22" s="234">
        <f>IF($X22&lt;='Data Input 1'!$B$18,0,IF($X22&lt;='Data Input 1'!$D$18,'Data Input 1'!$G$18,IF($X22&lt;='Data Input 1'!$D$19,'Data Input 1'!$G$19,IF($X22&lt;='Data Input 1'!$D$20,'Data Input 1'!$G$20,IF($X22&lt;='Data Input 1'!$D$21,'Data Input 1'!$G$21,MAX('Data Input 1'!$G$18:$G$22))))))</f>
        <v>4.25</v>
      </c>
      <c r="AB22" s="235">
        <f t="shared" si="5"/>
        <v>64</v>
      </c>
      <c r="AC22" s="236">
        <f t="shared" si="1"/>
        <v>0.39130434782608697</v>
      </c>
    </row>
    <row r="23" spans="1:29" x14ac:dyDescent="0.2">
      <c r="Q23" s="233">
        <v>15000</v>
      </c>
      <c r="R23" s="234">
        <f>IF($Q23&lt;='Data Input 1'!$B$10,0,IF($Q23&lt;='Data Input 1'!$D$10,'Data Input 1'!$F$10,IF($Q23&lt;='Data Input 1'!$D$11,'Data Input 1'!$F$11,IF($Q23&lt;='Data Input 1'!$D$12,'Data Input 1'!$F$12,IF($Q23&lt;='Data Input 1'!$D$13,'Data Input 1'!$F$13,MAX('Data Input 1'!$F$10:$F$14))))))</f>
        <v>2</v>
      </c>
      <c r="S23" s="235">
        <f t="shared" si="2"/>
        <v>46</v>
      </c>
      <c r="T23" s="234">
        <f>IF($Q23&lt;='Data Input 1'!$B$10,0,IF($Q23&lt;='Data Input 1'!$D$10,'Data Input 1'!$G$10,IF($Q23&lt;='Data Input 1'!$D$11,'Data Input 1'!$G$11,IF($Q23&lt;='Data Input 1'!$D$12,'Data Input 1'!$G$12,IF($Q23&lt;='Data Input 1'!$D$13,'Data Input 1'!$G$13,MAX('Data Input 1'!$G$10:$G$14))))))</f>
        <v>4.25</v>
      </c>
      <c r="U23" s="235">
        <f t="shared" si="3"/>
        <v>66.25</v>
      </c>
      <c r="V23" s="236">
        <f t="shared" si="0"/>
        <v>0.44021739130434784</v>
      </c>
      <c r="X23" s="233">
        <v>15000</v>
      </c>
      <c r="Y23" s="234">
        <f>IF($X23&lt;='Data Input 1'!$B$18,0,IF($X23&lt;='Data Input 1'!$D$18,'Data Input 1'!$F$18,IF($X23&lt;='Data Input 1'!$D$19,'Data Input 1'!$F$19,IF($X23&lt;='Data Input 1'!$D$20,'Data Input 1'!$F$20,IF($X23&lt;='Data Input 1'!$D$21,'Data Input 1'!$F$21,MAX('Data Input 1'!$F$18:$F$22))))))</f>
        <v>2</v>
      </c>
      <c r="Z23" s="235">
        <f t="shared" si="4"/>
        <v>48</v>
      </c>
      <c r="AA23" s="234">
        <f>IF($X23&lt;='Data Input 1'!$B$18,0,IF($X23&lt;='Data Input 1'!$D$18,'Data Input 1'!$G$18,IF($X23&lt;='Data Input 1'!$D$19,'Data Input 1'!$G$19,IF($X23&lt;='Data Input 1'!$D$20,'Data Input 1'!$G$20,IF($X23&lt;='Data Input 1'!$D$21,'Data Input 1'!$G$21,MAX('Data Input 1'!$G$18:$G$22))))))</f>
        <v>4.25</v>
      </c>
      <c r="AB23" s="235">
        <f t="shared" si="5"/>
        <v>68.25</v>
      </c>
      <c r="AC23" s="236">
        <f t="shared" si="1"/>
        <v>0.421875</v>
      </c>
    </row>
    <row r="24" spans="1:29" x14ac:dyDescent="0.2">
      <c r="Q24" s="233">
        <v>16000</v>
      </c>
      <c r="R24" s="234">
        <f>IF($Q24&lt;='Data Input 1'!$B$10,0,IF($Q24&lt;='Data Input 1'!$D$10,'Data Input 1'!$F$10,IF($Q24&lt;='Data Input 1'!$D$11,'Data Input 1'!$F$11,IF($Q24&lt;='Data Input 1'!$D$12,'Data Input 1'!$F$12,IF($Q24&lt;='Data Input 1'!$D$13,'Data Input 1'!$F$13,MAX('Data Input 1'!$F$10:$F$14))))))</f>
        <v>2</v>
      </c>
      <c r="S24" s="235">
        <f t="shared" si="2"/>
        <v>48</v>
      </c>
      <c r="T24" s="234">
        <f>IF($Q24&lt;='Data Input 1'!$B$10,0,IF($Q24&lt;='Data Input 1'!$D$10,'Data Input 1'!$G$10,IF($Q24&lt;='Data Input 1'!$D$11,'Data Input 1'!$G$11,IF($Q24&lt;='Data Input 1'!$D$12,'Data Input 1'!$G$12,IF($Q24&lt;='Data Input 1'!$D$13,'Data Input 1'!$G$13,MAX('Data Input 1'!$G$10:$G$14))))))</f>
        <v>4.25</v>
      </c>
      <c r="U24" s="235">
        <f t="shared" si="3"/>
        <v>70.5</v>
      </c>
      <c r="V24" s="236">
        <f t="shared" si="0"/>
        <v>0.46875</v>
      </c>
      <c r="X24" s="233">
        <v>16000</v>
      </c>
      <c r="Y24" s="234">
        <f>IF($X24&lt;='Data Input 1'!$B$18,0,IF($X24&lt;='Data Input 1'!$D$18,'Data Input 1'!$F$18,IF($X24&lt;='Data Input 1'!$D$19,'Data Input 1'!$F$19,IF($X24&lt;='Data Input 1'!$D$20,'Data Input 1'!$F$20,IF($X24&lt;='Data Input 1'!$D$21,'Data Input 1'!$F$21,MAX('Data Input 1'!$F$18:$F$22))))))</f>
        <v>2</v>
      </c>
      <c r="Z24" s="235">
        <f t="shared" si="4"/>
        <v>50</v>
      </c>
      <c r="AA24" s="234">
        <f>IF($X24&lt;='Data Input 1'!$B$18,0,IF($X24&lt;='Data Input 1'!$D$18,'Data Input 1'!$G$18,IF($X24&lt;='Data Input 1'!$D$19,'Data Input 1'!$G$19,IF($X24&lt;='Data Input 1'!$D$20,'Data Input 1'!$G$20,IF($X24&lt;='Data Input 1'!$D$21,'Data Input 1'!$G$21,MAX('Data Input 1'!$G$18:$G$22))))))</f>
        <v>4.25</v>
      </c>
      <c r="AB24" s="235">
        <f t="shared" si="5"/>
        <v>72.5</v>
      </c>
      <c r="AC24" s="236">
        <f t="shared" si="1"/>
        <v>0.45</v>
      </c>
    </row>
    <row r="25" spans="1:29" x14ac:dyDescent="0.2">
      <c r="Q25" s="233">
        <v>17000</v>
      </c>
      <c r="R25" s="234">
        <f>IF($Q25&lt;='Data Input 1'!$B$10,0,IF($Q25&lt;='Data Input 1'!$D$10,'Data Input 1'!$F$10,IF($Q25&lt;='Data Input 1'!$D$11,'Data Input 1'!$F$11,IF($Q25&lt;='Data Input 1'!$D$12,'Data Input 1'!$F$12,IF($Q25&lt;='Data Input 1'!$D$13,'Data Input 1'!$F$13,MAX('Data Input 1'!$F$10:$F$14))))))</f>
        <v>2</v>
      </c>
      <c r="S25" s="235">
        <f t="shared" si="2"/>
        <v>50</v>
      </c>
      <c r="T25" s="234">
        <f>IF($Q25&lt;='Data Input 1'!$B$10,0,IF($Q25&lt;='Data Input 1'!$D$10,'Data Input 1'!$G$10,IF($Q25&lt;='Data Input 1'!$D$11,'Data Input 1'!$G$11,IF($Q25&lt;='Data Input 1'!$D$12,'Data Input 1'!$G$12,IF($Q25&lt;='Data Input 1'!$D$13,'Data Input 1'!$G$13,MAX('Data Input 1'!$G$10:$G$14))))))</f>
        <v>4.25</v>
      </c>
      <c r="U25" s="235">
        <f t="shared" si="3"/>
        <v>74.75</v>
      </c>
      <c r="V25" s="236">
        <f t="shared" si="0"/>
        <v>0.495</v>
      </c>
      <c r="X25" s="233">
        <v>17000</v>
      </c>
      <c r="Y25" s="234">
        <f>IF($X25&lt;='Data Input 1'!$B$18,0,IF($X25&lt;='Data Input 1'!$D$18,'Data Input 1'!$F$18,IF($X25&lt;='Data Input 1'!$D$19,'Data Input 1'!$F$19,IF($X25&lt;='Data Input 1'!$D$20,'Data Input 1'!$F$20,IF($X25&lt;='Data Input 1'!$D$21,'Data Input 1'!$F$21,MAX('Data Input 1'!$F$18:$F$22))))))</f>
        <v>2</v>
      </c>
      <c r="Z25" s="235">
        <f t="shared" si="4"/>
        <v>52</v>
      </c>
      <c r="AA25" s="234">
        <f>IF($X25&lt;='Data Input 1'!$B$18,0,IF($X25&lt;='Data Input 1'!$D$18,'Data Input 1'!$G$18,IF($X25&lt;='Data Input 1'!$D$19,'Data Input 1'!$G$19,IF($X25&lt;='Data Input 1'!$D$20,'Data Input 1'!$G$20,IF($X25&lt;='Data Input 1'!$D$21,'Data Input 1'!$G$21,MAX('Data Input 1'!$G$18:$G$22))))))</f>
        <v>4.25</v>
      </c>
      <c r="AB25" s="235">
        <f t="shared" si="5"/>
        <v>76.75</v>
      </c>
      <c r="AC25" s="236">
        <f t="shared" si="1"/>
        <v>0.47596153846153844</v>
      </c>
    </row>
    <row r="26" spans="1:29" x14ac:dyDescent="0.2">
      <c r="Q26" s="233">
        <v>18000</v>
      </c>
      <c r="R26" s="234">
        <f>IF($Q26&lt;='Data Input 1'!$B$10,0,IF($Q26&lt;='Data Input 1'!$D$10,'Data Input 1'!$F$10,IF($Q26&lt;='Data Input 1'!$D$11,'Data Input 1'!$F$11,IF($Q26&lt;='Data Input 1'!$D$12,'Data Input 1'!$F$12,IF($Q26&lt;='Data Input 1'!$D$13,'Data Input 1'!$F$13,MAX('Data Input 1'!$F$10:$F$14))))))</f>
        <v>2</v>
      </c>
      <c r="S26" s="235">
        <f t="shared" si="2"/>
        <v>52</v>
      </c>
      <c r="T26" s="234">
        <f>IF($Q26&lt;='Data Input 1'!$B$10,0,IF($Q26&lt;='Data Input 1'!$D$10,'Data Input 1'!$G$10,IF($Q26&lt;='Data Input 1'!$D$11,'Data Input 1'!$G$11,IF($Q26&lt;='Data Input 1'!$D$12,'Data Input 1'!$G$12,IF($Q26&lt;='Data Input 1'!$D$13,'Data Input 1'!$G$13,MAX('Data Input 1'!$G$10:$G$14))))))</f>
        <v>4.25</v>
      </c>
      <c r="U26" s="235">
        <f t="shared" si="3"/>
        <v>79</v>
      </c>
      <c r="V26" s="236">
        <f t="shared" si="0"/>
        <v>0.51923076923076927</v>
      </c>
      <c r="X26" s="233">
        <v>18000</v>
      </c>
      <c r="Y26" s="234">
        <f>IF($X26&lt;='Data Input 1'!$B$18,0,IF($X26&lt;='Data Input 1'!$D$18,'Data Input 1'!$F$18,IF($X26&lt;='Data Input 1'!$D$19,'Data Input 1'!$F$19,IF($X26&lt;='Data Input 1'!$D$20,'Data Input 1'!$F$20,IF($X26&lt;='Data Input 1'!$D$21,'Data Input 1'!$F$21,MAX('Data Input 1'!$F$18:$F$22))))))</f>
        <v>2</v>
      </c>
      <c r="Z26" s="235">
        <f t="shared" si="4"/>
        <v>54</v>
      </c>
      <c r="AA26" s="234">
        <f>IF($X26&lt;='Data Input 1'!$B$18,0,IF($X26&lt;='Data Input 1'!$D$18,'Data Input 1'!$G$18,IF($X26&lt;='Data Input 1'!$D$19,'Data Input 1'!$G$19,IF($X26&lt;='Data Input 1'!$D$20,'Data Input 1'!$G$20,IF($X26&lt;='Data Input 1'!$D$21,'Data Input 1'!$G$21,MAX('Data Input 1'!$G$18:$G$22))))))</f>
        <v>4.25</v>
      </c>
      <c r="AB26" s="235">
        <f t="shared" si="5"/>
        <v>81</v>
      </c>
      <c r="AC26" s="236">
        <f t="shared" si="1"/>
        <v>0.5</v>
      </c>
    </row>
    <row r="27" spans="1:29" x14ac:dyDescent="0.2">
      <c r="Q27" s="233">
        <v>19000</v>
      </c>
      <c r="R27" s="234">
        <f>IF($Q27&lt;='Data Input 1'!$B$10,0,IF($Q27&lt;='Data Input 1'!$D$10,'Data Input 1'!$F$10,IF($Q27&lt;='Data Input 1'!$D$11,'Data Input 1'!$F$11,IF($Q27&lt;='Data Input 1'!$D$12,'Data Input 1'!$F$12,IF($Q27&lt;='Data Input 1'!$D$13,'Data Input 1'!$F$13,MAX('Data Input 1'!$F$10:$F$14))))))</f>
        <v>2</v>
      </c>
      <c r="S27" s="235">
        <f t="shared" si="2"/>
        <v>54</v>
      </c>
      <c r="T27" s="234">
        <f>IF($Q27&lt;='Data Input 1'!$B$10,0,IF($Q27&lt;='Data Input 1'!$D$10,'Data Input 1'!$G$10,IF($Q27&lt;='Data Input 1'!$D$11,'Data Input 1'!$G$11,IF($Q27&lt;='Data Input 1'!$D$12,'Data Input 1'!$G$12,IF($Q27&lt;='Data Input 1'!$D$13,'Data Input 1'!$G$13,MAX('Data Input 1'!$G$10:$G$14))))))</f>
        <v>4.25</v>
      </c>
      <c r="U27" s="235">
        <f t="shared" si="3"/>
        <v>83.25</v>
      </c>
      <c r="V27" s="236">
        <f t="shared" si="0"/>
        <v>0.54166666666666663</v>
      </c>
      <c r="X27" s="233">
        <v>19000</v>
      </c>
      <c r="Y27" s="234">
        <f>IF($X27&lt;='Data Input 1'!$B$18,0,IF($X27&lt;='Data Input 1'!$D$18,'Data Input 1'!$F$18,IF($X27&lt;='Data Input 1'!$D$19,'Data Input 1'!$F$19,IF($X27&lt;='Data Input 1'!$D$20,'Data Input 1'!$F$20,IF($X27&lt;='Data Input 1'!$D$21,'Data Input 1'!$F$21,MAX('Data Input 1'!$F$18:$F$22))))))</f>
        <v>2</v>
      </c>
      <c r="Z27" s="235">
        <f t="shared" si="4"/>
        <v>56</v>
      </c>
      <c r="AA27" s="234">
        <f>IF($X27&lt;='Data Input 1'!$B$18,0,IF($X27&lt;='Data Input 1'!$D$18,'Data Input 1'!$G$18,IF($X27&lt;='Data Input 1'!$D$19,'Data Input 1'!$G$19,IF($X27&lt;='Data Input 1'!$D$20,'Data Input 1'!$G$20,IF($X27&lt;='Data Input 1'!$D$21,'Data Input 1'!$G$21,MAX('Data Input 1'!$G$18:$G$22))))))</f>
        <v>4.25</v>
      </c>
      <c r="AB27" s="235">
        <f t="shared" si="5"/>
        <v>85.25</v>
      </c>
      <c r="AC27" s="236">
        <f t="shared" si="1"/>
        <v>0.5223214285714286</v>
      </c>
    </row>
    <row r="28" spans="1:29" x14ac:dyDescent="0.2">
      <c r="Q28" s="233">
        <v>20000</v>
      </c>
      <c r="R28" s="234">
        <f>IF($Q28&lt;='Data Input 1'!$B$10,0,IF($Q28&lt;='Data Input 1'!$D$10,'Data Input 1'!$F$10,IF($Q28&lt;='Data Input 1'!$D$11,'Data Input 1'!$F$11,IF($Q28&lt;='Data Input 1'!$D$12,'Data Input 1'!$F$12,IF($Q28&lt;='Data Input 1'!$D$13,'Data Input 1'!$F$13,MAX('Data Input 1'!$F$10:$F$14))))))</f>
        <v>2</v>
      </c>
      <c r="S28" s="235">
        <f t="shared" si="2"/>
        <v>56</v>
      </c>
      <c r="T28" s="234">
        <f>IF($Q28&lt;='Data Input 1'!$B$10,0,IF($Q28&lt;='Data Input 1'!$D$10,'Data Input 1'!$G$10,IF($Q28&lt;='Data Input 1'!$D$11,'Data Input 1'!$G$11,IF($Q28&lt;='Data Input 1'!$D$12,'Data Input 1'!$G$12,IF($Q28&lt;='Data Input 1'!$D$13,'Data Input 1'!$G$13,MAX('Data Input 1'!$G$10:$G$14))))))</f>
        <v>4.25</v>
      </c>
      <c r="U28" s="235">
        <f t="shared" si="3"/>
        <v>87.5</v>
      </c>
      <c r="V28" s="236">
        <f t="shared" si="0"/>
        <v>0.5625</v>
      </c>
      <c r="X28" s="233">
        <v>20000</v>
      </c>
      <c r="Y28" s="234">
        <f>IF($X28&lt;='Data Input 1'!$B$18,0,IF($X28&lt;='Data Input 1'!$D$18,'Data Input 1'!$F$18,IF($X28&lt;='Data Input 1'!$D$19,'Data Input 1'!$F$19,IF($X28&lt;='Data Input 1'!$D$20,'Data Input 1'!$F$20,IF($X28&lt;='Data Input 1'!$D$21,'Data Input 1'!$F$21,MAX('Data Input 1'!$F$18:$F$22))))))</f>
        <v>2</v>
      </c>
      <c r="Z28" s="235">
        <f t="shared" si="4"/>
        <v>58</v>
      </c>
      <c r="AA28" s="234">
        <f>IF($X28&lt;='Data Input 1'!$B$18,0,IF($X28&lt;='Data Input 1'!$D$18,'Data Input 1'!$G$18,IF($X28&lt;='Data Input 1'!$D$19,'Data Input 1'!$G$19,IF($X28&lt;='Data Input 1'!$D$20,'Data Input 1'!$G$20,IF($X28&lt;='Data Input 1'!$D$21,'Data Input 1'!$G$21,MAX('Data Input 1'!$G$18:$G$22))))))</f>
        <v>4.25</v>
      </c>
      <c r="AB28" s="235">
        <f t="shared" si="5"/>
        <v>89.5</v>
      </c>
      <c r="AC28" s="236">
        <f t="shared" si="1"/>
        <v>0.5431034482758621</v>
      </c>
    </row>
    <row r="29" spans="1:29" s="237" customFormat="1" ht="13.5" thickBot="1" x14ac:dyDescent="0.25"/>
    <row r="31" spans="1:29" ht="18" x14ac:dyDescent="0.25">
      <c r="A31" s="346" t="s">
        <v>115</v>
      </c>
      <c r="B31" s="346"/>
      <c r="C31" s="346"/>
      <c r="D31" s="346"/>
      <c r="E31" s="346"/>
      <c r="F31" s="346"/>
      <c r="G31" s="346"/>
      <c r="H31" s="346"/>
      <c r="I31" s="346"/>
      <c r="J31" s="346"/>
      <c r="K31" s="346"/>
      <c r="L31" s="346"/>
      <c r="M31" s="346"/>
      <c r="N31" s="346"/>
      <c r="O31" s="346"/>
      <c r="P31" s="238"/>
      <c r="R31" s="344" t="s">
        <v>112</v>
      </c>
      <c r="S31" s="344"/>
      <c r="T31" s="344"/>
      <c r="U31" s="344"/>
      <c r="Y31" s="344" t="s">
        <v>114</v>
      </c>
      <c r="Z31" s="344"/>
      <c r="AA31" s="344"/>
      <c r="AB31" s="344"/>
    </row>
    <row r="32" spans="1:29" ht="15.75" x14ac:dyDescent="0.25">
      <c r="Q32" s="228"/>
      <c r="R32" s="228"/>
      <c r="S32" s="118">
        <f>'Data Input 1'!$F$6</f>
        <v>2014</v>
      </c>
      <c r="T32" s="118"/>
      <c r="U32" s="229">
        <f>'Data Input 1'!$G$6</f>
        <v>2015</v>
      </c>
      <c r="V32" s="230"/>
      <c r="X32" s="228"/>
      <c r="Y32" s="228"/>
      <c r="Z32" s="118">
        <f>'Data Input 1'!$F$6</f>
        <v>2014</v>
      </c>
      <c r="AA32" s="118"/>
      <c r="AB32" s="229">
        <f>'Data Input 1'!$G$6</f>
        <v>2015</v>
      </c>
      <c r="AC32" s="230"/>
    </row>
    <row r="33" spans="17:29" ht="38.25" x14ac:dyDescent="0.2">
      <c r="Q33" s="231" t="s">
        <v>117</v>
      </c>
      <c r="R33" s="232" t="s">
        <v>110</v>
      </c>
      <c r="S33" s="232" t="s">
        <v>109</v>
      </c>
      <c r="T33" s="232" t="s">
        <v>111</v>
      </c>
      <c r="U33" s="232" t="s">
        <v>108</v>
      </c>
      <c r="V33" s="232" t="s">
        <v>128</v>
      </c>
      <c r="X33" s="231" t="s">
        <v>117</v>
      </c>
      <c r="Y33" s="232" t="s">
        <v>110</v>
      </c>
      <c r="Z33" s="232" t="s">
        <v>109</v>
      </c>
      <c r="AA33" s="232" t="s">
        <v>111</v>
      </c>
      <c r="AB33" s="232" t="s">
        <v>108</v>
      </c>
      <c r="AC33" s="232" t="s">
        <v>128</v>
      </c>
    </row>
    <row r="34" spans="17:29" x14ac:dyDescent="0.2">
      <c r="Q34" s="233">
        <v>0</v>
      </c>
      <c r="R34" s="234">
        <v>0</v>
      </c>
      <c r="S34" s="235">
        <f>'Data Input 1'!$N$8</f>
        <v>25</v>
      </c>
      <c r="T34" s="234">
        <v>0</v>
      </c>
      <c r="U34" s="235">
        <f>'Data Input 1'!$O$8</f>
        <v>30</v>
      </c>
      <c r="V34" s="236">
        <f>(U34-S34)/S34</f>
        <v>0.2</v>
      </c>
      <c r="X34" s="233">
        <v>0</v>
      </c>
      <c r="Y34" s="234">
        <v>0</v>
      </c>
      <c r="Z34" s="235">
        <f>'Data Input 1'!$N$16</f>
        <v>27</v>
      </c>
      <c r="AA34" s="234">
        <v>0</v>
      </c>
      <c r="AB34" s="235">
        <f>'Data Input 1'!$O$16</f>
        <v>29</v>
      </c>
      <c r="AC34" s="236">
        <f>(AB34-Z34)/Z34</f>
        <v>7.407407407407407E-2</v>
      </c>
    </row>
    <row r="35" spans="17:29" x14ac:dyDescent="0.2">
      <c r="Q35" s="233">
        <v>1000</v>
      </c>
      <c r="R35" s="234">
        <f>IF($Q35&lt;='Data Input 1'!$J$10,0,IF($Q35&lt;='Data Input 1'!$L$10,'Data Input 1'!$N$10,IF($Q35&lt;='Data Input 1'!$L$11,'Data Input 1'!$N$11,IF($Q35&lt;='Data Input 1'!$L$12,'Data Input 1'!$N$12,IF($Q35&lt;='Data Input 1'!$L$13,'Data Input 1'!$N$13,MAX('Data Input 1'!$N$10:$N$14))))))</f>
        <v>2</v>
      </c>
      <c r="S35" s="235">
        <f>S34+R35</f>
        <v>27</v>
      </c>
      <c r="T35" s="234">
        <f>IF($Q35&lt;='Data Input 1'!$J$10,0,IF($Q35&lt;='Data Input 1'!$L$10,'Data Input 1'!$O$10,IF($Q35&lt;='Data Input 1'!$L$11,'Data Input 1'!$O$11,IF($Q35&lt;='Data Input 1'!$L$12,'Data Input 1'!$O$12,IF($Q35&lt;='Data Input 1'!$L$13,'Data Input 1'!$O$13,MAX('Data Input 1'!$O$10:$O$14))))))</f>
        <v>1.25</v>
      </c>
      <c r="U35" s="235">
        <f>U34+T35</f>
        <v>31.25</v>
      </c>
      <c r="V35" s="236">
        <f t="shared" ref="V35:V98" si="6">(U35-S35)/S35</f>
        <v>0.15740740740740741</v>
      </c>
      <c r="X35" s="233">
        <v>1000</v>
      </c>
      <c r="Y35" s="234">
        <f>IF($Q35&lt;='Data Input 1'!$J$18,0,IF($Q35&lt;='Data Input 1'!$L$18,'Data Input 1'!$N$18,IF($Q35&lt;='Data Input 1'!$L$19,'Data Input 1'!$N$19,IF($Q35&lt;='Data Input 1'!$L$20,'Data Input 1'!$N$20,IF($Q35&lt;='Data Input 1'!$L$21,'Data Input 1'!$N$21,MAX('Data Input 1'!$N$18:$N$22))))))</f>
        <v>2</v>
      </c>
      <c r="Z35" s="235">
        <f>Z34+Y35</f>
        <v>29</v>
      </c>
      <c r="AA35" s="234">
        <f>IF($Q35&lt;='Data Input 1'!$J$18,0,IF($Q35&lt;='Data Input 1'!$L$18,'Data Input 1'!$O$18,IF($Q35&lt;='Data Input 1'!$L$19,'Data Input 1'!$O$19,IF($Q35&lt;='Data Input 1'!$L$20,'Data Input 1'!$O$20,IF($Q35&lt;='Data Input 1'!$L$21,'Data Input 1'!$O$21,MAX('Data Input 1'!$O$18:$O$22))))))</f>
        <v>1.5</v>
      </c>
      <c r="AB35" s="235">
        <f>AB34+AA35</f>
        <v>30.5</v>
      </c>
      <c r="AC35" s="236">
        <f t="shared" ref="AC35:AC98" si="7">(AB35-Z35)/Z35</f>
        <v>5.1724137931034482E-2</v>
      </c>
    </row>
    <row r="36" spans="17:29" x14ac:dyDescent="0.2">
      <c r="Q36" s="233">
        <v>2000</v>
      </c>
      <c r="R36" s="234">
        <f>IF($Q36&lt;='Data Input 1'!$J$10,0,IF($Q36&lt;='Data Input 1'!$L$10,'Data Input 1'!$N$10,IF($Q36&lt;='Data Input 1'!$L$11,'Data Input 1'!$N$11,IF($Q36&lt;='Data Input 1'!$L$12,'Data Input 1'!$N$12,IF($Q36&lt;='Data Input 1'!$L$13,'Data Input 1'!$N$13,MAX('Data Input 1'!$N$10:$N$14))))))</f>
        <v>2</v>
      </c>
      <c r="S36" s="235">
        <f t="shared" ref="S36:S99" si="8">S35+R36</f>
        <v>29</v>
      </c>
      <c r="T36" s="234">
        <f>IF($Q36&lt;='Data Input 1'!$J$10,0,IF($Q36&lt;='Data Input 1'!$L$10,'Data Input 1'!$O$10,IF($Q36&lt;='Data Input 1'!$L$11,'Data Input 1'!$O$11,IF($Q36&lt;='Data Input 1'!$L$12,'Data Input 1'!$O$12,IF($Q36&lt;='Data Input 1'!$L$13,'Data Input 1'!$O$13,MAX('Data Input 1'!$O$10:$O$14))))))</f>
        <v>1.25</v>
      </c>
      <c r="U36" s="235">
        <f t="shared" ref="U36:U99" si="9">U35+T36</f>
        <v>32.5</v>
      </c>
      <c r="V36" s="236">
        <f t="shared" si="6"/>
        <v>0.1206896551724138</v>
      </c>
      <c r="X36" s="233">
        <v>2000</v>
      </c>
      <c r="Y36" s="234">
        <f>IF($Q36&lt;='Data Input 1'!$J$18,0,IF($Q36&lt;='Data Input 1'!$L$18,'Data Input 1'!$N$18,IF($Q36&lt;='Data Input 1'!$L$19,'Data Input 1'!$N$19,IF($Q36&lt;='Data Input 1'!$L$20,'Data Input 1'!$N$20,IF($Q36&lt;='Data Input 1'!$L$21,'Data Input 1'!$N$21,MAX('Data Input 1'!$N$18:$N$22))))))</f>
        <v>2</v>
      </c>
      <c r="Z36" s="235">
        <f t="shared" ref="Z36:Z99" si="10">Z35+Y36</f>
        <v>31</v>
      </c>
      <c r="AA36" s="234">
        <f>IF($Q36&lt;='Data Input 1'!$J$18,0,IF($Q36&lt;='Data Input 1'!$L$18,'Data Input 1'!$O$18,IF($Q36&lt;='Data Input 1'!$L$19,'Data Input 1'!$O$19,IF($Q36&lt;='Data Input 1'!$L$20,'Data Input 1'!$O$20,IF($Q36&lt;='Data Input 1'!$L$21,'Data Input 1'!$O$21,MAX('Data Input 1'!$O$18:$O$22))))))</f>
        <v>1.5</v>
      </c>
      <c r="AB36" s="235">
        <f t="shared" ref="AB36:AB99" si="11">AB35+AA36</f>
        <v>32</v>
      </c>
      <c r="AC36" s="236">
        <f t="shared" si="7"/>
        <v>3.2258064516129031E-2</v>
      </c>
    </row>
    <row r="37" spans="17:29" x14ac:dyDescent="0.2">
      <c r="Q37" s="233">
        <v>3000</v>
      </c>
      <c r="R37" s="234">
        <f>IF($Q37&lt;='Data Input 1'!$J$10,0,IF($Q37&lt;='Data Input 1'!$L$10,'Data Input 1'!$N$10,IF($Q37&lt;='Data Input 1'!$L$11,'Data Input 1'!$N$11,IF($Q37&lt;='Data Input 1'!$L$12,'Data Input 1'!$N$12,IF($Q37&lt;='Data Input 1'!$L$13,'Data Input 1'!$N$13,MAX('Data Input 1'!$N$10:$N$14))))))</f>
        <v>2</v>
      </c>
      <c r="S37" s="235">
        <f t="shared" si="8"/>
        <v>31</v>
      </c>
      <c r="T37" s="234">
        <f>IF($Q37&lt;='Data Input 1'!$J$10,0,IF($Q37&lt;='Data Input 1'!$L$10,'Data Input 1'!$O$10,IF($Q37&lt;='Data Input 1'!$L$11,'Data Input 1'!$O$11,IF($Q37&lt;='Data Input 1'!$L$12,'Data Input 1'!$O$12,IF($Q37&lt;='Data Input 1'!$L$13,'Data Input 1'!$O$13,MAX('Data Input 1'!$O$10:$O$14))))))</f>
        <v>1.25</v>
      </c>
      <c r="U37" s="235">
        <f t="shared" si="9"/>
        <v>33.75</v>
      </c>
      <c r="V37" s="236">
        <f t="shared" si="6"/>
        <v>8.8709677419354843E-2</v>
      </c>
      <c r="X37" s="233">
        <v>3000</v>
      </c>
      <c r="Y37" s="234">
        <f>IF($Q37&lt;='Data Input 1'!$J$18,0,IF($Q37&lt;='Data Input 1'!$L$18,'Data Input 1'!$N$18,IF($Q37&lt;='Data Input 1'!$L$19,'Data Input 1'!$N$19,IF($Q37&lt;='Data Input 1'!$L$20,'Data Input 1'!$N$20,IF($Q37&lt;='Data Input 1'!$L$21,'Data Input 1'!$N$21,MAX('Data Input 1'!$N$18:$N$22))))))</f>
        <v>2</v>
      </c>
      <c r="Z37" s="235">
        <f t="shared" si="10"/>
        <v>33</v>
      </c>
      <c r="AA37" s="234">
        <f>IF($Q37&lt;='Data Input 1'!$J$18,0,IF($Q37&lt;='Data Input 1'!$L$18,'Data Input 1'!$O$18,IF($Q37&lt;='Data Input 1'!$L$19,'Data Input 1'!$O$19,IF($Q37&lt;='Data Input 1'!$L$20,'Data Input 1'!$O$20,IF($Q37&lt;='Data Input 1'!$L$21,'Data Input 1'!$O$21,MAX('Data Input 1'!$O$18:$O$22))))))</f>
        <v>1.5</v>
      </c>
      <c r="AB37" s="235">
        <f t="shared" si="11"/>
        <v>33.5</v>
      </c>
      <c r="AC37" s="236">
        <f t="shared" si="7"/>
        <v>1.5151515151515152E-2</v>
      </c>
    </row>
    <row r="38" spans="17:29" x14ac:dyDescent="0.2">
      <c r="Q38" s="233">
        <v>4000</v>
      </c>
      <c r="R38" s="234">
        <f>IF($Q38&lt;='Data Input 1'!$J$10,0,IF($Q38&lt;='Data Input 1'!$L$10,'Data Input 1'!$N$10,IF($Q38&lt;='Data Input 1'!$L$11,'Data Input 1'!$N$11,IF($Q38&lt;='Data Input 1'!$L$12,'Data Input 1'!$N$12,IF($Q38&lt;='Data Input 1'!$L$13,'Data Input 1'!$N$13,MAX('Data Input 1'!$N$10:$N$14))))))</f>
        <v>2</v>
      </c>
      <c r="S38" s="235">
        <f t="shared" si="8"/>
        <v>33</v>
      </c>
      <c r="T38" s="234">
        <f>IF($Q38&lt;='Data Input 1'!$J$10,0,IF($Q38&lt;='Data Input 1'!$L$10,'Data Input 1'!$O$10,IF($Q38&lt;='Data Input 1'!$L$11,'Data Input 1'!$O$11,IF($Q38&lt;='Data Input 1'!$L$12,'Data Input 1'!$O$12,IF($Q38&lt;='Data Input 1'!$L$13,'Data Input 1'!$O$13,MAX('Data Input 1'!$O$10:$O$14))))))</f>
        <v>1.25</v>
      </c>
      <c r="U38" s="235">
        <f t="shared" si="9"/>
        <v>35</v>
      </c>
      <c r="V38" s="236">
        <f t="shared" si="6"/>
        <v>6.0606060606060608E-2</v>
      </c>
      <c r="X38" s="233">
        <v>4000</v>
      </c>
      <c r="Y38" s="234">
        <f>IF($Q38&lt;='Data Input 1'!$J$18,0,IF($Q38&lt;='Data Input 1'!$L$18,'Data Input 1'!$N$18,IF($Q38&lt;='Data Input 1'!$L$19,'Data Input 1'!$N$19,IF($Q38&lt;='Data Input 1'!$L$20,'Data Input 1'!$N$20,IF($Q38&lt;='Data Input 1'!$L$21,'Data Input 1'!$N$21,MAX('Data Input 1'!$N$18:$N$22))))))</f>
        <v>2</v>
      </c>
      <c r="Z38" s="235">
        <f t="shared" si="10"/>
        <v>35</v>
      </c>
      <c r="AA38" s="234">
        <f>IF($Q38&lt;='Data Input 1'!$J$18,0,IF($Q38&lt;='Data Input 1'!$L$18,'Data Input 1'!$O$18,IF($Q38&lt;='Data Input 1'!$L$19,'Data Input 1'!$O$19,IF($Q38&lt;='Data Input 1'!$L$20,'Data Input 1'!$O$20,IF($Q38&lt;='Data Input 1'!$L$21,'Data Input 1'!$O$21,MAX('Data Input 1'!$O$18:$O$22))))))</f>
        <v>1.5</v>
      </c>
      <c r="AB38" s="235">
        <f t="shared" si="11"/>
        <v>35</v>
      </c>
      <c r="AC38" s="236">
        <f t="shared" si="7"/>
        <v>0</v>
      </c>
    </row>
    <row r="39" spans="17:29" x14ac:dyDescent="0.2">
      <c r="Q39" s="233">
        <v>5000</v>
      </c>
      <c r="R39" s="234">
        <f>IF($Q39&lt;='Data Input 1'!$J$10,0,IF($Q39&lt;='Data Input 1'!$L$10,'Data Input 1'!$N$10,IF($Q39&lt;='Data Input 1'!$L$11,'Data Input 1'!$N$11,IF($Q39&lt;='Data Input 1'!$L$12,'Data Input 1'!$N$12,IF($Q39&lt;='Data Input 1'!$L$13,'Data Input 1'!$N$13,MAX('Data Input 1'!$N$10:$N$14))))))</f>
        <v>2</v>
      </c>
      <c r="S39" s="235">
        <f t="shared" si="8"/>
        <v>35</v>
      </c>
      <c r="T39" s="234">
        <f>IF($Q39&lt;='Data Input 1'!$J$10,0,IF($Q39&lt;='Data Input 1'!$L$10,'Data Input 1'!$O$10,IF($Q39&lt;='Data Input 1'!$L$11,'Data Input 1'!$O$11,IF($Q39&lt;='Data Input 1'!$L$12,'Data Input 1'!$O$12,IF($Q39&lt;='Data Input 1'!$L$13,'Data Input 1'!$O$13,MAX('Data Input 1'!$O$10:$O$14))))))</f>
        <v>1.25</v>
      </c>
      <c r="U39" s="235">
        <f t="shared" si="9"/>
        <v>36.25</v>
      </c>
      <c r="V39" s="236">
        <f t="shared" si="6"/>
        <v>3.5714285714285712E-2</v>
      </c>
      <c r="X39" s="233">
        <v>5000</v>
      </c>
      <c r="Y39" s="234">
        <f>IF($Q39&lt;='Data Input 1'!$J$18,0,IF($Q39&lt;='Data Input 1'!$L$18,'Data Input 1'!$N$18,IF($Q39&lt;='Data Input 1'!$L$19,'Data Input 1'!$N$19,IF($Q39&lt;='Data Input 1'!$L$20,'Data Input 1'!$N$20,IF($Q39&lt;='Data Input 1'!$L$21,'Data Input 1'!$N$21,MAX('Data Input 1'!$N$18:$N$22))))))</f>
        <v>2</v>
      </c>
      <c r="Z39" s="235">
        <f t="shared" si="10"/>
        <v>37</v>
      </c>
      <c r="AA39" s="234">
        <f>IF($Q39&lt;='Data Input 1'!$J$18,0,IF($Q39&lt;='Data Input 1'!$L$18,'Data Input 1'!$O$18,IF($Q39&lt;='Data Input 1'!$L$19,'Data Input 1'!$O$19,IF($Q39&lt;='Data Input 1'!$L$20,'Data Input 1'!$O$20,IF($Q39&lt;='Data Input 1'!$L$21,'Data Input 1'!$O$21,MAX('Data Input 1'!$O$18:$O$22))))))</f>
        <v>1.5</v>
      </c>
      <c r="AB39" s="235">
        <f t="shared" si="11"/>
        <v>36.5</v>
      </c>
      <c r="AC39" s="236">
        <f t="shared" si="7"/>
        <v>-1.3513513513513514E-2</v>
      </c>
    </row>
    <row r="40" spans="17:29" x14ac:dyDescent="0.2">
      <c r="Q40" s="233">
        <v>6000</v>
      </c>
      <c r="R40" s="234">
        <f>IF($Q40&lt;='Data Input 1'!$J$10,0,IF($Q40&lt;='Data Input 1'!$L$10,'Data Input 1'!$N$10,IF($Q40&lt;='Data Input 1'!$L$11,'Data Input 1'!$N$11,IF($Q40&lt;='Data Input 1'!$L$12,'Data Input 1'!$N$12,IF($Q40&lt;='Data Input 1'!$L$13,'Data Input 1'!$N$13,MAX('Data Input 1'!$N$10:$N$14))))))</f>
        <v>2</v>
      </c>
      <c r="S40" s="235">
        <f t="shared" si="8"/>
        <v>37</v>
      </c>
      <c r="T40" s="234">
        <f>IF($Q40&lt;='Data Input 1'!$J$10,0,IF($Q40&lt;='Data Input 1'!$L$10,'Data Input 1'!$O$10,IF($Q40&lt;='Data Input 1'!$L$11,'Data Input 1'!$O$11,IF($Q40&lt;='Data Input 1'!$L$12,'Data Input 1'!$O$12,IF($Q40&lt;='Data Input 1'!$L$13,'Data Input 1'!$O$13,MAX('Data Input 1'!$O$10:$O$14))))))</f>
        <v>1.25</v>
      </c>
      <c r="U40" s="235">
        <f t="shared" si="9"/>
        <v>37.5</v>
      </c>
      <c r="V40" s="236">
        <f t="shared" si="6"/>
        <v>1.3513513513513514E-2</v>
      </c>
      <c r="X40" s="233">
        <v>6000</v>
      </c>
      <c r="Y40" s="234">
        <f>IF($Q40&lt;='Data Input 1'!$J$18,0,IF($Q40&lt;='Data Input 1'!$L$18,'Data Input 1'!$N$18,IF($Q40&lt;='Data Input 1'!$L$19,'Data Input 1'!$N$19,IF($Q40&lt;='Data Input 1'!$L$20,'Data Input 1'!$N$20,IF($Q40&lt;='Data Input 1'!$L$21,'Data Input 1'!$N$21,MAX('Data Input 1'!$N$18:$N$22))))))</f>
        <v>2</v>
      </c>
      <c r="Z40" s="235">
        <f t="shared" si="10"/>
        <v>39</v>
      </c>
      <c r="AA40" s="234">
        <f>IF($Q40&lt;='Data Input 1'!$J$18,0,IF($Q40&lt;='Data Input 1'!$L$18,'Data Input 1'!$O$18,IF($Q40&lt;='Data Input 1'!$L$19,'Data Input 1'!$O$19,IF($Q40&lt;='Data Input 1'!$L$20,'Data Input 1'!$O$20,IF($Q40&lt;='Data Input 1'!$L$21,'Data Input 1'!$O$21,MAX('Data Input 1'!$O$18:$O$22))))))</f>
        <v>1.5</v>
      </c>
      <c r="AB40" s="235">
        <f t="shared" si="11"/>
        <v>38</v>
      </c>
      <c r="AC40" s="236">
        <f t="shared" si="7"/>
        <v>-2.564102564102564E-2</v>
      </c>
    </row>
    <row r="41" spans="17:29" x14ac:dyDescent="0.2">
      <c r="Q41" s="233">
        <v>7000</v>
      </c>
      <c r="R41" s="234">
        <f>IF($Q41&lt;='Data Input 1'!$J$10,0,IF($Q41&lt;='Data Input 1'!$L$10,'Data Input 1'!$N$10,IF($Q41&lt;='Data Input 1'!$L$11,'Data Input 1'!$N$11,IF($Q41&lt;='Data Input 1'!$L$12,'Data Input 1'!$N$12,IF($Q41&lt;='Data Input 1'!$L$13,'Data Input 1'!$N$13,MAX('Data Input 1'!$N$10:$N$14))))))</f>
        <v>2</v>
      </c>
      <c r="S41" s="235">
        <f t="shared" si="8"/>
        <v>39</v>
      </c>
      <c r="T41" s="234">
        <f>IF($Q41&lt;='Data Input 1'!$J$10,0,IF($Q41&lt;='Data Input 1'!$L$10,'Data Input 1'!$O$10,IF($Q41&lt;='Data Input 1'!$L$11,'Data Input 1'!$O$11,IF($Q41&lt;='Data Input 1'!$L$12,'Data Input 1'!$O$12,IF($Q41&lt;='Data Input 1'!$L$13,'Data Input 1'!$O$13,MAX('Data Input 1'!$O$10:$O$14))))))</f>
        <v>1.25</v>
      </c>
      <c r="U41" s="235">
        <f t="shared" si="9"/>
        <v>38.75</v>
      </c>
      <c r="V41" s="236">
        <f t="shared" si="6"/>
        <v>-6.41025641025641E-3</v>
      </c>
      <c r="X41" s="233">
        <v>7000</v>
      </c>
      <c r="Y41" s="234">
        <f>IF($Q41&lt;='Data Input 1'!$J$18,0,IF($Q41&lt;='Data Input 1'!$L$18,'Data Input 1'!$N$18,IF($Q41&lt;='Data Input 1'!$L$19,'Data Input 1'!$N$19,IF($Q41&lt;='Data Input 1'!$L$20,'Data Input 1'!$N$20,IF($Q41&lt;='Data Input 1'!$L$21,'Data Input 1'!$N$21,MAX('Data Input 1'!$N$18:$N$22))))))</f>
        <v>2</v>
      </c>
      <c r="Z41" s="235">
        <f t="shared" si="10"/>
        <v>41</v>
      </c>
      <c r="AA41" s="234">
        <f>IF($Q41&lt;='Data Input 1'!$J$18,0,IF($Q41&lt;='Data Input 1'!$L$18,'Data Input 1'!$O$18,IF($Q41&lt;='Data Input 1'!$L$19,'Data Input 1'!$O$19,IF($Q41&lt;='Data Input 1'!$L$20,'Data Input 1'!$O$20,IF($Q41&lt;='Data Input 1'!$L$21,'Data Input 1'!$O$21,MAX('Data Input 1'!$O$18:$O$22))))))</f>
        <v>1.5</v>
      </c>
      <c r="AB41" s="235">
        <f t="shared" si="11"/>
        <v>39.5</v>
      </c>
      <c r="AC41" s="236">
        <f t="shared" si="7"/>
        <v>-3.6585365853658534E-2</v>
      </c>
    </row>
    <row r="42" spans="17:29" x14ac:dyDescent="0.2">
      <c r="Q42" s="233">
        <v>8000</v>
      </c>
      <c r="R42" s="234">
        <f>IF($Q42&lt;='Data Input 1'!$J$10,0,IF($Q42&lt;='Data Input 1'!$L$10,'Data Input 1'!$N$10,IF($Q42&lt;='Data Input 1'!$L$11,'Data Input 1'!$N$11,IF($Q42&lt;='Data Input 1'!$L$12,'Data Input 1'!$N$12,IF($Q42&lt;='Data Input 1'!$L$13,'Data Input 1'!$N$13,MAX('Data Input 1'!$N$10:$N$14))))))</f>
        <v>2</v>
      </c>
      <c r="S42" s="235">
        <f t="shared" si="8"/>
        <v>41</v>
      </c>
      <c r="T42" s="234">
        <f>IF($Q42&lt;='Data Input 1'!$J$10,0,IF($Q42&lt;='Data Input 1'!$L$10,'Data Input 1'!$O$10,IF($Q42&lt;='Data Input 1'!$L$11,'Data Input 1'!$O$11,IF($Q42&lt;='Data Input 1'!$L$12,'Data Input 1'!$O$12,IF($Q42&lt;='Data Input 1'!$L$13,'Data Input 1'!$O$13,MAX('Data Input 1'!$O$10:$O$14))))))</f>
        <v>1.25</v>
      </c>
      <c r="U42" s="235">
        <f t="shared" si="9"/>
        <v>40</v>
      </c>
      <c r="V42" s="236">
        <f t="shared" si="6"/>
        <v>-2.4390243902439025E-2</v>
      </c>
      <c r="X42" s="233">
        <v>8000</v>
      </c>
      <c r="Y42" s="234">
        <f>IF($Q42&lt;='Data Input 1'!$J$18,0,IF($Q42&lt;='Data Input 1'!$L$18,'Data Input 1'!$N$18,IF($Q42&lt;='Data Input 1'!$L$19,'Data Input 1'!$N$19,IF($Q42&lt;='Data Input 1'!$L$20,'Data Input 1'!$N$20,IF($Q42&lt;='Data Input 1'!$L$21,'Data Input 1'!$N$21,MAX('Data Input 1'!$N$18:$N$22))))))</f>
        <v>2</v>
      </c>
      <c r="Z42" s="235">
        <f t="shared" si="10"/>
        <v>43</v>
      </c>
      <c r="AA42" s="234">
        <f>IF($Q42&lt;='Data Input 1'!$J$18,0,IF($Q42&lt;='Data Input 1'!$L$18,'Data Input 1'!$O$18,IF($Q42&lt;='Data Input 1'!$L$19,'Data Input 1'!$O$19,IF($Q42&lt;='Data Input 1'!$L$20,'Data Input 1'!$O$20,IF($Q42&lt;='Data Input 1'!$L$21,'Data Input 1'!$O$21,MAX('Data Input 1'!$O$18:$O$22))))))</f>
        <v>1.5</v>
      </c>
      <c r="AB42" s="235">
        <f t="shared" si="11"/>
        <v>41</v>
      </c>
      <c r="AC42" s="236">
        <f t="shared" si="7"/>
        <v>-4.6511627906976744E-2</v>
      </c>
    </row>
    <row r="43" spans="17:29" x14ac:dyDescent="0.2">
      <c r="Q43" s="233">
        <v>9000</v>
      </c>
      <c r="R43" s="234">
        <f>IF($Q43&lt;='Data Input 1'!$J$10,0,IF($Q43&lt;='Data Input 1'!$L$10,'Data Input 1'!$N$10,IF($Q43&lt;='Data Input 1'!$L$11,'Data Input 1'!$N$11,IF($Q43&lt;='Data Input 1'!$L$12,'Data Input 1'!$N$12,IF($Q43&lt;='Data Input 1'!$L$13,'Data Input 1'!$N$13,MAX('Data Input 1'!$N$10:$N$14))))))</f>
        <v>2</v>
      </c>
      <c r="S43" s="235">
        <f t="shared" si="8"/>
        <v>43</v>
      </c>
      <c r="T43" s="234">
        <f>IF($Q43&lt;='Data Input 1'!$J$10,0,IF($Q43&lt;='Data Input 1'!$L$10,'Data Input 1'!$O$10,IF($Q43&lt;='Data Input 1'!$L$11,'Data Input 1'!$O$11,IF($Q43&lt;='Data Input 1'!$L$12,'Data Input 1'!$O$12,IF($Q43&lt;='Data Input 1'!$L$13,'Data Input 1'!$O$13,MAX('Data Input 1'!$O$10:$O$14))))))</f>
        <v>1.25</v>
      </c>
      <c r="U43" s="235">
        <f t="shared" si="9"/>
        <v>41.25</v>
      </c>
      <c r="V43" s="236">
        <f t="shared" si="6"/>
        <v>-4.0697674418604654E-2</v>
      </c>
      <c r="X43" s="233">
        <v>9000</v>
      </c>
      <c r="Y43" s="234">
        <f>IF($Q43&lt;='Data Input 1'!$J$18,0,IF($Q43&lt;='Data Input 1'!$L$18,'Data Input 1'!$N$18,IF($Q43&lt;='Data Input 1'!$L$19,'Data Input 1'!$N$19,IF($Q43&lt;='Data Input 1'!$L$20,'Data Input 1'!$N$20,IF($Q43&lt;='Data Input 1'!$L$21,'Data Input 1'!$N$21,MAX('Data Input 1'!$N$18:$N$22))))))</f>
        <v>2</v>
      </c>
      <c r="Z43" s="235">
        <f t="shared" si="10"/>
        <v>45</v>
      </c>
      <c r="AA43" s="234">
        <f>IF($Q43&lt;='Data Input 1'!$J$18,0,IF($Q43&lt;='Data Input 1'!$L$18,'Data Input 1'!$O$18,IF($Q43&lt;='Data Input 1'!$L$19,'Data Input 1'!$O$19,IF($Q43&lt;='Data Input 1'!$L$20,'Data Input 1'!$O$20,IF($Q43&lt;='Data Input 1'!$L$21,'Data Input 1'!$O$21,MAX('Data Input 1'!$O$18:$O$22))))))</f>
        <v>1.5</v>
      </c>
      <c r="AB43" s="235">
        <f t="shared" si="11"/>
        <v>42.5</v>
      </c>
      <c r="AC43" s="236">
        <f t="shared" si="7"/>
        <v>-5.5555555555555552E-2</v>
      </c>
    </row>
    <row r="44" spans="17:29" x14ac:dyDescent="0.2">
      <c r="Q44" s="233">
        <v>10000</v>
      </c>
      <c r="R44" s="234">
        <f>IF($Q44&lt;='Data Input 1'!$J$10,0,IF($Q44&lt;='Data Input 1'!$L$10,'Data Input 1'!$N$10,IF($Q44&lt;='Data Input 1'!$L$11,'Data Input 1'!$N$11,IF($Q44&lt;='Data Input 1'!$L$12,'Data Input 1'!$N$12,IF($Q44&lt;='Data Input 1'!$L$13,'Data Input 1'!$N$13,MAX('Data Input 1'!$N$10:$N$14))))))</f>
        <v>2</v>
      </c>
      <c r="S44" s="235">
        <f t="shared" si="8"/>
        <v>45</v>
      </c>
      <c r="T44" s="234">
        <f>IF($Q44&lt;='Data Input 1'!$J$10,0,IF($Q44&lt;='Data Input 1'!$L$10,'Data Input 1'!$O$10,IF($Q44&lt;='Data Input 1'!$L$11,'Data Input 1'!$O$11,IF($Q44&lt;='Data Input 1'!$L$12,'Data Input 1'!$O$12,IF($Q44&lt;='Data Input 1'!$L$13,'Data Input 1'!$O$13,MAX('Data Input 1'!$O$10:$O$14))))))</f>
        <v>1.25</v>
      </c>
      <c r="U44" s="235">
        <f t="shared" si="9"/>
        <v>42.5</v>
      </c>
      <c r="V44" s="236">
        <f t="shared" si="6"/>
        <v>-5.5555555555555552E-2</v>
      </c>
      <c r="X44" s="233">
        <v>10000</v>
      </c>
      <c r="Y44" s="234">
        <f>IF($Q44&lt;='Data Input 1'!$J$18,0,IF($Q44&lt;='Data Input 1'!$L$18,'Data Input 1'!$N$18,IF($Q44&lt;='Data Input 1'!$L$19,'Data Input 1'!$N$19,IF($Q44&lt;='Data Input 1'!$L$20,'Data Input 1'!$N$20,IF($Q44&lt;='Data Input 1'!$L$21,'Data Input 1'!$N$21,MAX('Data Input 1'!$N$18:$N$22))))))</f>
        <v>2</v>
      </c>
      <c r="Z44" s="235">
        <f t="shared" si="10"/>
        <v>47</v>
      </c>
      <c r="AA44" s="234">
        <f>IF($Q44&lt;='Data Input 1'!$J$18,0,IF($Q44&lt;='Data Input 1'!$L$18,'Data Input 1'!$O$18,IF($Q44&lt;='Data Input 1'!$L$19,'Data Input 1'!$O$19,IF($Q44&lt;='Data Input 1'!$L$20,'Data Input 1'!$O$20,IF($Q44&lt;='Data Input 1'!$L$21,'Data Input 1'!$O$21,MAX('Data Input 1'!$O$18:$O$22))))))</f>
        <v>1.5</v>
      </c>
      <c r="AB44" s="235">
        <f t="shared" si="11"/>
        <v>44</v>
      </c>
      <c r="AC44" s="236">
        <f t="shared" si="7"/>
        <v>-6.3829787234042548E-2</v>
      </c>
    </row>
    <row r="45" spans="17:29" x14ac:dyDescent="0.2">
      <c r="Q45" s="233">
        <v>11000</v>
      </c>
      <c r="R45" s="234">
        <f>IF($Q45&lt;='Data Input 1'!$J$10,0,IF($Q45&lt;='Data Input 1'!$L$10,'Data Input 1'!$N$10,IF($Q45&lt;='Data Input 1'!$L$11,'Data Input 1'!$N$11,IF($Q45&lt;='Data Input 1'!$L$12,'Data Input 1'!$N$12,IF($Q45&lt;='Data Input 1'!$L$13,'Data Input 1'!$N$13,MAX('Data Input 1'!$N$10:$N$14))))))</f>
        <v>2</v>
      </c>
      <c r="S45" s="235">
        <f t="shared" si="8"/>
        <v>47</v>
      </c>
      <c r="T45" s="234">
        <f>IF($Q45&lt;='Data Input 1'!$J$10,0,IF($Q45&lt;='Data Input 1'!$L$10,'Data Input 1'!$O$10,IF($Q45&lt;='Data Input 1'!$L$11,'Data Input 1'!$O$11,IF($Q45&lt;='Data Input 1'!$L$12,'Data Input 1'!$O$12,IF($Q45&lt;='Data Input 1'!$L$13,'Data Input 1'!$O$13,MAX('Data Input 1'!$O$10:$O$14))))))</f>
        <v>1.75</v>
      </c>
      <c r="U45" s="235">
        <f t="shared" si="9"/>
        <v>44.25</v>
      </c>
      <c r="V45" s="236">
        <f t="shared" si="6"/>
        <v>-5.8510638297872342E-2</v>
      </c>
      <c r="X45" s="233">
        <v>11000</v>
      </c>
      <c r="Y45" s="234">
        <f>IF($Q45&lt;='Data Input 1'!$J$18,0,IF($Q45&lt;='Data Input 1'!$L$18,'Data Input 1'!$N$18,IF($Q45&lt;='Data Input 1'!$L$19,'Data Input 1'!$N$19,IF($Q45&lt;='Data Input 1'!$L$20,'Data Input 1'!$N$20,IF($Q45&lt;='Data Input 1'!$L$21,'Data Input 1'!$N$21,MAX('Data Input 1'!$N$18:$N$22))))))</f>
        <v>2</v>
      </c>
      <c r="Z45" s="235">
        <f t="shared" si="10"/>
        <v>49</v>
      </c>
      <c r="AA45" s="234">
        <f>IF($Q45&lt;='Data Input 1'!$J$18,0,IF($Q45&lt;='Data Input 1'!$L$18,'Data Input 1'!$O$18,IF($Q45&lt;='Data Input 1'!$L$19,'Data Input 1'!$O$19,IF($Q45&lt;='Data Input 1'!$L$20,'Data Input 1'!$O$20,IF($Q45&lt;='Data Input 1'!$L$21,'Data Input 1'!$O$21,MAX('Data Input 1'!$O$18:$O$22))))))</f>
        <v>2</v>
      </c>
      <c r="AB45" s="235">
        <f t="shared" si="11"/>
        <v>46</v>
      </c>
      <c r="AC45" s="236">
        <f t="shared" si="7"/>
        <v>-6.1224489795918366E-2</v>
      </c>
    </row>
    <row r="46" spans="17:29" x14ac:dyDescent="0.2">
      <c r="Q46" s="233">
        <v>12000</v>
      </c>
      <c r="R46" s="234">
        <f>IF($Q46&lt;='Data Input 1'!$J$10,0,IF($Q46&lt;='Data Input 1'!$L$10,'Data Input 1'!$N$10,IF($Q46&lt;='Data Input 1'!$L$11,'Data Input 1'!$N$11,IF($Q46&lt;='Data Input 1'!$L$12,'Data Input 1'!$N$12,IF($Q46&lt;='Data Input 1'!$L$13,'Data Input 1'!$N$13,MAX('Data Input 1'!$N$10:$N$14))))))</f>
        <v>2</v>
      </c>
      <c r="S46" s="235">
        <f t="shared" si="8"/>
        <v>49</v>
      </c>
      <c r="T46" s="234">
        <f>IF($Q46&lt;='Data Input 1'!$J$10,0,IF($Q46&lt;='Data Input 1'!$L$10,'Data Input 1'!$O$10,IF($Q46&lt;='Data Input 1'!$L$11,'Data Input 1'!$O$11,IF($Q46&lt;='Data Input 1'!$L$12,'Data Input 1'!$O$12,IF($Q46&lt;='Data Input 1'!$L$13,'Data Input 1'!$O$13,MAX('Data Input 1'!$O$10:$O$14))))))</f>
        <v>1.75</v>
      </c>
      <c r="U46" s="235">
        <f t="shared" si="9"/>
        <v>46</v>
      </c>
      <c r="V46" s="236">
        <f t="shared" si="6"/>
        <v>-6.1224489795918366E-2</v>
      </c>
      <c r="X46" s="233">
        <v>12000</v>
      </c>
      <c r="Y46" s="234">
        <f>IF($Q46&lt;='Data Input 1'!$J$18,0,IF($Q46&lt;='Data Input 1'!$L$18,'Data Input 1'!$N$18,IF($Q46&lt;='Data Input 1'!$L$19,'Data Input 1'!$N$19,IF($Q46&lt;='Data Input 1'!$L$20,'Data Input 1'!$N$20,IF($Q46&lt;='Data Input 1'!$L$21,'Data Input 1'!$N$21,MAX('Data Input 1'!$N$18:$N$22))))))</f>
        <v>2</v>
      </c>
      <c r="Z46" s="235">
        <f t="shared" si="10"/>
        <v>51</v>
      </c>
      <c r="AA46" s="234">
        <f>IF($Q46&lt;='Data Input 1'!$J$18,0,IF($Q46&lt;='Data Input 1'!$L$18,'Data Input 1'!$O$18,IF($Q46&lt;='Data Input 1'!$L$19,'Data Input 1'!$O$19,IF($Q46&lt;='Data Input 1'!$L$20,'Data Input 1'!$O$20,IF($Q46&lt;='Data Input 1'!$L$21,'Data Input 1'!$O$21,MAX('Data Input 1'!$O$18:$O$22))))))</f>
        <v>2</v>
      </c>
      <c r="AB46" s="235">
        <f t="shared" si="11"/>
        <v>48</v>
      </c>
      <c r="AC46" s="236">
        <f t="shared" si="7"/>
        <v>-5.8823529411764705E-2</v>
      </c>
    </row>
    <row r="47" spans="17:29" x14ac:dyDescent="0.2">
      <c r="Q47" s="233">
        <v>13000</v>
      </c>
      <c r="R47" s="234">
        <f>IF($Q47&lt;='Data Input 1'!$J$10,0,IF($Q47&lt;='Data Input 1'!$L$10,'Data Input 1'!$N$10,IF($Q47&lt;='Data Input 1'!$L$11,'Data Input 1'!$N$11,IF($Q47&lt;='Data Input 1'!$L$12,'Data Input 1'!$N$12,IF($Q47&lt;='Data Input 1'!$L$13,'Data Input 1'!$N$13,MAX('Data Input 1'!$N$10:$N$14))))))</f>
        <v>2</v>
      </c>
      <c r="S47" s="235">
        <f t="shared" si="8"/>
        <v>51</v>
      </c>
      <c r="T47" s="234">
        <f>IF($Q47&lt;='Data Input 1'!$J$10,0,IF($Q47&lt;='Data Input 1'!$L$10,'Data Input 1'!$O$10,IF($Q47&lt;='Data Input 1'!$L$11,'Data Input 1'!$O$11,IF($Q47&lt;='Data Input 1'!$L$12,'Data Input 1'!$O$12,IF($Q47&lt;='Data Input 1'!$L$13,'Data Input 1'!$O$13,MAX('Data Input 1'!$O$10:$O$14))))))</f>
        <v>1.75</v>
      </c>
      <c r="U47" s="235">
        <f t="shared" si="9"/>
        <v>47.75</v>
      </c>
      <c r="V47" s="236">
        <f t="shared" si="6"/>
        <v>-6.3725490196078427E-2</v>
      </c>
      <c r="X47" s="233">
        <v>13000</v>
      </c>
      <c r="Y47" s="234">
        <f>IF($Q47&lt;='Data Input 1'!$J$18,0,IF($Q47&lt;='Data Input 1'!$L$18,'Data Input 1'!$N$18,IF($Q47&lt;='Data Input 1'!$L$19,'Data Input 1'!$N$19,IF($Q47&lt;='Data Input 1'!$L$20,'Data Input 1'!$N$20,IF($Q47&lt;='Data Input 1'!$L$21,'Data Input 1'!$N$21,MAX('Data Input 1'!$N$18:$N$22))))))</f>
        <v>2</v>
      </c>
      <c r="Z47" s="235">
        <f t="shared" si="10"/>
        <v>53</v>
      </c>
      <c r="AA47" s="234">
        <f>IF($Q47&lt;='Data Input 1'!$J$18,0,IF($Q47&lt;='Data Input 1'!$L$18,'Data Input 1'!$O$18,IF($Q47&lt;='Data Input 1'!$L$19,'Data Input 1'!$O$19,IF($Q47&lt;='Data Input 1'!$L$20,'Data Input 1'!$O$20,IF($Q47&lt;='Data Input 1'!$L$21,'Data Input 1'!$O$21,MAX('Data Input 1'!$O$18:$O$22))))))</f>
        <v>2</v>
      </c>
      <c r="AB47" s="235">
        <f t="shared" si="11"/>
        <v>50</v>
      </c>
      <c r="AC47" s="236">
        <f t="shared" si="7"/>
        <v>-5.6603773584905662E-2</v>
      </c>
    </row>
    <row r="48" spans="17:29" x14ac:dyDescent="0.2">
      <c r="Q48" s="233">
        <v>14000</v>
      </c>
      <c r="R48" s="234">
        <f>IF($Q48&lt;='Data Input 1'!$J$10,0,IF($Q48&lt;='Data Input 1'!$L$10,'Data Input 1'!$N$10,IF($Q48&lt;='Data Input 1'!$L$11,'Data Input 1'!$N$11,IF($Q48&lt;='Data Input 1'!$L$12,'Data Input 1'!$N$12,IF($Q48&lt;='Data Input 1'!$L$13,'Data Input 1'!$N$13,MAX('Data Input 1'!$N$10:$N$14))))))</f>
        <v>2</v>
      </c>
      <c r="S48" s="235">
        <f t="shared" si="8"/>
        <v>53</v>
      </c>
      <c r="T48" s="234">
        <f>IF($Q48&lt;='Data Input 1'!$J$10,0,IF($Q48&lt;='Data Input 1'!$L$10,'Data Input 1'!$O$10,IF($Q48&lt;='Data Input 1'!$L$11,'Data Input 1'!$O$11,IF($Q48&lt;='Data Input 1'!$L$12,'Data Input 1'!$O$12,IF($Q48&lt;='Data Input 1'!$L$13,'Data Input 1'!$O$13,MAX('Data Input 1'!$O$10:$O$14))))))</f>
        <v>1.75</v>
      </c>
      <c r="U48" s="235">
        <f t="shared" si="9"/>
        <v>49.5</v>
      </c>
      <c r="V48" s="236">
        <f t="shared" si="6"/>
        <v>-6.6037735849056603E-2</v>
      </c>
      <c r="X48" s="233">
        <v>14000</v>
      </c>
      <c r="Y48" s="234">
        <f>IF($Q48&lt;='Data Input 1'!$J$18,0,IF($Q48&lt;='Data Input 1'!$L$18,'Data Input 1'!$N$18,IF($Q48&lt;='Data Input 1'!$L$19,'Data Input 1'!$N$19,IF($Q48&lt;='Data Input 1'!$L$20,'Data Input 1'!$N$20,IF($Q48&lt;='Data Input 1'!$L$21,'Data Input 1'!$N$21,MAX('Data Input 1'!$N$18:$N$22))))))</f>
        <v>2</v>
      </c>
      <c r="Z48" s="235">
        <f t="shared" si="10"/>
        <v>55</v>
      </c>
      <c r="AA48" s="234">
        <f>IF($Q48&lt;='Data Input 1'!$J$18,0,IF($Q48&lt;='Data Input 1'!$L$18,'Data Input 1'!$O$18,IF($Q48&lt;='Data Input 1'!$L$19,'Data Input 1'!$O$19,IF($Q48&lt;='Data Input 1'!$L$20,'Data Input 1'!$O$20,IF($Q48&lt;='Data Input 1'!$L$21,'Data Input 1'!$O$21,MAX('Data Input 1'!$O$18:$O$22))))))</f>
        <v>2</v>
      </c>
      <c r="AB48" s="235">
        <f t="shared" si="11"/>
        <v>52</v>
      </c>
      <c r="AC48" s="236">
        <f t="shared" si="7"/>
        <v>-5.4545454545454543E-2</v>
      </c>
    </row>
    <row r="49" spans="17:29" x14ac:dyDescent="0.2">
      <c r="Q49" s="233">
        <v>15000</v>
      </c>
      <c r="R49" s="234">
        <f>IF($Q49&lt;='Data Input 1'!$J$10,0,IF($Q49&lt;='Data Input 1'!$L$10,'Data Input 1'!$N$10,IF($Q49&lt;='Data Input 1'!$L$11,'Data Input 1'!$N$11,IF($Q49&lt;='Data Input 1'!$L$12,'Data Input 1'!$N$12,IF($Q49&lt;='Data Input 1'!$L$13,'Data Input 1'!$N$13,MAX('Data Input 1'!$N$10:$N$14))))))</f>
        <v>2</v>
      </c>
      <c r="S49" s="235">
        <f t="shared" si="8"/>
        <v>55</v>
      </c>
      <c r="T49" s="234">
        <f>IF($Q49&lt;='Data Input 1'!$J$10,0,IF($Q49&lt;='Data Input 1'!$L$10,'Data Input 1'!$O$10,IF($Q49&lt;='Data Input 1'!$L$11,'Data Input 1'!$O$11,IF($Q49&lt;='Data Input 1'!$L$12,'Data Input 1'!$O$12,IF($Q49&lt;='Data Input 1'!$L$13,'Data Input 1'!$O$13,MAX('Data Input 1'!$O$10:$O$14))))))</f>
        <v>1.75</v>
      </c>
      <c r="U49" s="235">
        <f t="shared" si="9"/>
        <v>51.25</v>
      </c>
      <c r="V49" s="236">
        <f t="shared" si="6"/>
        <v>-6.8181818181818177E-2</v>
      </c>
      <c r="X49" s="233">
        <v>15000</v>
      </c>
      <c r="Y49" s="234">
        <f>IF($Q49&lt;='Data Input 1'!$J$18,0,IF($Q49&lt;='Data Input 1'!$L$18,'Data Input 1'!$N$18,IF($Q49&lt;='Data Input 1'!$L$19,'Data Input 1'!$N$19,IF($Q49&lt;='Data Input 1'!$L$20,'Data Input 1'!$N$20,IF($Q49&lt;='Data Input 1'!$L$21,'Data Input 1'!$N$21,MAX('Data Input 1'!$N$18:$N$22))))))</f>
        <v>2</v>
      </c>
      <c r="Z49" s="235">
        <f t="shared" si="10"/>
        <v>57</v>
      </c>
      <c r="AA49" s="234">
        <f>IF($Q49&lt;='Data Input 1'!$J$18,0,IF($Q49&lt;='Data Input 1'!$L$18,'Data Input 1'!$O$18,IF($Q49&lt;='Data Input 1'!$L$19,'Data Input 1'!$O$19,IF($Q49&lt;='Data Input 1'!$L$20,'Data Input 1'!$O$20,IF($Q49&lt;='Data Input 1'!$L$21,'Data Input 1'!$O$21,MAX('Data Input 1'!$O$18:$O$22))))))</f>
        <v>2</v>
      </c>
      <c r="AB49" s="235">
        <f t="shared" si="11"/>
        <v>54</v>
      </c>
      <c r="AC49" s="236">
        <f t="shared" si="7"/>
        <v>-5.2631578947368418E-2</v>
      </c>
    </row>
    <row r="50" spans="17:29" x14ac:dyDescent="0.2">
      <c r="Q50" s="233">
        <v>16000</v>
      </c>
      <c r="R50" s="234">
        <f>IF($Q50&lt;='Data Input 1'!$J$10,0,IF($Q50&lt;='Data Input 1'!$L$10,'Data Input 1'!$N$10,IF($Q50&lt;='Data Input 1'!$L$11,'Data Input 1'!$N$11,IF($Q50&lt;='Data Input 1'!$L$12,'Data Input 1'!$N$12,IF($Q50&lt;='Data Input 1'!$L$13,'Data Input 1'!$N$13,MAX('Data Input 1'!$N$10:$N$14))))))</f>
        <v>2</v>
      </c>
      <c r="S50" s="235">
        <f t="shared" si="8"/>
        <v>57</v>
      </c>
      <c r="T50" s="234">
        <f>IF($Q50&lt;='Data Input 1'!$J$10,0,IF($Q50&lt;='Data Input 1'!$L$10,'Data Input 1'!$O$10,IF($Q50&lt;='Data Input 1'!$L$11,'Data Input 1'!$O$11,IF($Q50&lt;='Data Input 1'!$L$12,'Data Input 1'!$O$12,IF($Q50&lt;='Data Input 1'!$L$13,'Data Input 1'!$O$13,MAX('Data Input 1'!$O$10:$O$14))))))</f>
        <v>3</v>
      </c>
      <c r="U50" s="235">
        <f t="shared" si="9"/>
        <v>54.25</v>
      </c>
      <c r="V50" s="236">
        <f t="shared" si="6"/>
        <v>-4.8245614035087717E-2</v>
      </c>
      <c r="X50" s="233">
        <v>16000</v>
      </c>
      <c r="Y50" s="234">
        <f>IF($Q50&lt;='Data Input 1'!$J$18,0,IF($Q50&lt;='Data Input 1'!$L$18,'Data Input 1'!$N$18,IF($Q50&lt;='Data Input 1'!$L$19,'Data Input 1'!$N$19,IF($Q50&lt;='Data Input 1'!$L$20,'Data Input 1'!$N$20,IF($Q50&lt;='Data Input 1'!$L$21,'Data Input 1'!$N$21,MAX('Data Input 1'!$N$18:$N$22))))))</f>
        <v>2</v>
      </c>
      <c r="Z50" s="235">
        <f t="shared" si="10"/>
        <v>59</v>
      </c>
      <c r="AA50" s="234">
        <f>IF($Q50&lt;='Data Input 1'!$J$18,0,IF($Q50&lt;='Data Input 1'!$L$18,'Data Input 1'!$O$18,IF($Q50&lt;='Data Input 1'!$L$19,'Data Input 1'!$O$19,IF($Q50&lt;='Data Input 1'!$L$20,'Data Input 1'!$O$20,IF($Q50&lt;='Data Input 1'!$L$21,'Data Input 1'!$O$21,MAX('Data Input 1'!$O$18:$O$22))))))</f>
        <v>3.25</v>
      </c>
      <c r="AB50" s="235">
        <f t="shared" si="11"/>
        <v>57.25</v>
      </c>
      <c r="AC50" s="236">
        <f t="shared" si="7"/>
        <v>-2.9661016949152543E-2</v>
      </c>
    </row>
    <row r="51" spans="17:29" x14ac:dyDescent="0.2">
      <c r="Q51" s="233">
        <v>17000</v>
      </c>
      <c r="R51" s="234">
        <f>IF($Q51&lt;='Data Input 1'!$J$10,0,IF($Q51&lt;='Data Input 1'!$L$10,'Data Input 1'!$N$10,IF($Q51&lt;='Data Input 1'!$L$11,'Data Input 1'!$N$11,IF($Q51&lt;='Data Input 1'!$L$12,'Data Input 1'!$N$12,IF($Q51&lt;='Data Input 1'!$L$13,'Data Input 1'!$N$13,MAX('Data Input 1'!$N$10:$N$14))))))</f>
        <v>2</v>
      </c>
      <c r="S51" s="235">
        <f t="shared" si="8"/>
        <v>59</v>
      </c>
      <c r="T51" s="234">
        <f>IF($Q51&lt;='Data Input 1'!$J$10,0,IF($Q51&lt;='Data Input 1'!$L$10,'Data Input 1'!$O$10,IF($Q51&lt;='Data Input 1'!$L$11,'Data Input 1'!$O$11,IF($Q51&lt;='Data Input 1'!$L$12,'Data Input 1'!$O$12,IF($Q51&lt;='Data Input 1'!$L$13,'Data Input 1'!$O$13,MAX('Data Input 1'!$O$10:$O$14))))))</f>
        <v>3</v>
      </c>
      <c r="U51" s="235">
        <f t="shared" si="9"/>
        <v>57.25</v>
      </c>
      <c r="V51" s="236">
        <f t="shared" si="6"/>
        <v>-2.9661016949152543E-2</v>
      </c>
      <c r="X51" s="233">
        <v>17000</v>
      </c>
      <c r="Y51" s="234">
        <f>IF($Q51&lt;='Data Input 1'!$J$18,0,IF($Q51&lt;='Data Input 1'!$L$18,'Data Input 1'!$N$18,IF($Q51&lt;='Data Input 1'!$L$19,'Data Input 1'!$N$19,IF($Q51&lt;='Data Input 1'!$L$20,'Data Input 1'!$N$20,IF($Q51&lt;='Data Input 1'!$L$21,'Data Input 1'!$N$21,MAX('Data Input 1'!$N$18:$N$22))))))</f>
        <v>2</v>
      </c>
      <c r="Z51" s="235">
        <f t="shared" si="10"/>
        <v>61</v>
      </c>
      <c r="AA51" s="234">
        <f>IF($Q51&lt;='Data Input 1'!$J$18,0,IF($Q51&lt;='Data Input 1'!$L$18,'Data Input 1'!$O$18,IF($Q51&lt;='Data Input 1'!$L$19,'Data Input 1'!$O$19,IF($Q51&lt;='Data Input 1'!$L$20,'Data Input 1'!$O$20,IF($Q51&lt;='Data Input 1'!$L$21,'Data Input 1'!$O$21,MAX('Data Input 1'!$O$18:$O$22))))))</f>
        <v>3.25</v>
      </c>
      <c r="AB51" s="235">
        <f t="shared" si="11"/>
        <v>60.5</v>
      </c>
      <c r="AC51" s="236">
        <f t="shared" si="7"/>
        <v>-8.1967213114754103E-3</v>
      </c>
    </row>
    <row r="52" spans="17:29" x14ac:dyDescent="0.2">
      <c r="Q52" s="233">
        <v>18000</v>
      </c>
      <c r="R52" s="234">
        <f>IF($Q52&lt;='Data Input 1'!$J$10,0,IF($Q52&lt;='Data Input 1'!$L$10,'Data Input 1'!$N$10,IF($Q52&lt;='Data Input 1'!$L$11,'Data Input 1'!$N$11,IF($Q52&lt;='Data Input 1'!$L$12,'Data Input 1'!$N$12,IF($Q52&lt;='Data Input 1'!$L$13,'Data Input 1'!$N$13,MAX('Data Input 1'!$N$10:$N$14))))))</f>
        <v>2</v>
      </c>
      <c r="S52" s="235">
        <f t="shared" si="8"/>
        <v>61</v>
      </c>
      <c r="T52" s="234">
        <f>IF($Q52&lt;='Data Input 1'!$J$10,0,IF($Q52&lt;='Data Input 1'!$L$10,'Data Input 1'!$O$10,IF($Q52&lt;='Data Input 1'!$L$11,'Data Input 1'!$O$11,IF($Q52&lt;='Data Input 1'!$L$12,'Data Input 1'!$O$12,IF($Q52&lt;='Data Input 1'!$L$13,'Data Input 1'!$O$13,MAX('Data Input 1'!$O$10:$O$14))))))</f>
        <v>3</v>
      </c>
      <c r="U52" s="235">
        <f t="shared" si="9"/>
        <v>60.25</v>
      </c>
      <c r="V52" s="236">
        <f t="shared" si="6"/>
        <v>-1.2295081967213115E-2</v>
      </c>
      <c r="X52" s="233">
        <v>18000</v>
      </c>
      <c r="Y52" s="234">
        <f>IF($Q52&lt;='Data Input 1'!$J$18,0,IF($Q52&lt;='Data Input 1'!$L$18,'Data Input 1'!$N$18,IF($Q52&lt;='Data Input 1'!$L$19,'Data Input 1'!$N$19,IF($Q52&lt;='Data Input 1'!$L$20,'Data Input 1'!$N$20,IF($Q52&lt;='Data Input 1'!$L$21,'Data Input 1'!$N$21,MAX('Data Input 1'!$N$18:$N$22))))))</f>
        <v>2</v>
      </c>
      <c r="Z52" s="235">
        <f t="shared" si="10"/>
        <v>63</v>
      </c>
      <c r="AA52" s="234">
        <f>IF($Q52&lt;='Data Input 1'!$J$18,0,IF($Q52&lt;='Data Input 1'!$L$18,'Data Input 1'!$O$18,IF($Q52&lt;='Data Input 1'!$L$19,'Data Input 1'!$O$19,IF($Q52&lt;='Data Input 1'!$L$20,'Data Input 1'!$O$20,IF($Q52&lt;='Data Input 1'!$L$21,'Data Input 1'!$O$21,MAX('Data Input 1'!$O$18:$O$22))))))</f>
        <v>3.25</v>
      </c>
      <c r="AB52" s="235">
        <f t="shared" si="11"/>
        <v>63.75</v>
      </c>
      <c r="AC52" s="236">
        <f t="shared" si="7"/>
        <v>1.1904761904761904E-2</v>
      </c>
    </row>
    <row r="53" spans="17:29" x14ac:dyDescent="0.2">
      <c r="Q53" s="233">
        <v>19000</v>
      </c>
      <c r="R53" s="234">
        <f>IF($Q53&lt;='Data Input 1'!$J$10,0,IF($Q53&lt;='Data Input 1'!$L$10,'Data Input 1'!$N$10,IF($Q53&lt;='Data Input 1'!$L$11,'Data Input 1'!$N$11,IF($Q53&lt;='Data Input 1'!$L$12,'Data Input 1'!$N$12,IF($Q53&lt;='Data Input 1'!$L$13,'Data Input 1'!$N$13,MAX('Data Input 1'!$N$10:$N$14))))))</f>
        <v>2</v>
      </c>
      <c r="S53" s="235">
        <f t="shared" si="8"/>
        <v>63</v>
      </c>
      <c r="T53" s="234">
        <f>IF($Q53&lt;='Data Input 1'!$J$10,0,IF($Q53&lt;='Data Input 1'!$L$10,'Data Input 1'!$O$10,IF($Q53&lt;='Data Input 1'!$L$11,'Data Input 1'!$O$11,IF($Q53&lt;='Data Input 1'!$L$12,'Data Input 1'!$O$12,IF($Q53&lt;='Data Input 1'!$L$13,'Data Input 1'!$O$13,MAX('Data Input 1'!$O$10:$O$14))))))</f>
        <v>3</v>
      </c>
      <c r="U53" s="235">
        <f t="shared" si="9"/>
        <v>63.25</v>
      </c>
      <c r="V53" s="236">
        <f t="shared" si="6"/>
        <v>3.968253968253968E-3</v>
      </c>
      <c r="X53" s="233">
        <v>19000</v>
      </c>
      <c r="Y53" s="234">
        <f>IF($Q53&lt;='Data Input 1'!$J$18,0,IF($Q53&lt;='Data Input 1'!$L$18,'Data Input 1'!$N$18,IF($Q53&lt;='Data Input 1'!$L$19,'Data Input 1'!$N$19,IF($Q53&lt;='Data Input 1'!$L$20,'Data Input 1'!$N$20,IF($Q53&lt;='Data Input 1'!$L$21,'Data Input 1'!$N$21,MAX('Data Input 1'!$N$18:$N$22))))))</f>
        <v>2</v>
      </c>
      <c r="Z53" s="235">
        <f t="shared" si="10"/>
        <v>65</v>
      </c>
      <c r="AA53" s="234">
        <f>IF($Q53&lt;='Data Input 1'!$J$18,0,IF($Q53&lt;='Data Input 1'!$L$18,'Data Input 1'!$O$18,IF($Q53&lt;='Data Input 1'!$L$19,'Data Input 1'!$O$19,IF($Q53&lt;='Data Input 1'!$L$20,'Data Input 1'!$O$20,IF($Q53&lt;='Data Input 1'!$L$21,'Data Input 1'!$O$21,MAX('Data Input 1'!$O$18:$O$22))))))</f>
        <v>3.25</v>
      </c>
      <c r="AB53" s="235">
        <f t="shared" si="11"/>
        <v>67</v>
      </c>
      <c r="AC53" s="236">
        <f t="shared" si="7"/>
        <v>3.0769230769230771E-2</v>
      </c>
    </row>
    <row r="54" spans="17:29" x14ac:dyDescent="0.2">
      <c r="Q54" s="233">
        <v>20000</v>
      </c>
      <c r="R54" s="234">
        <f>IF($Q54&lt;='Data Input 1'!$J$10,0,IF($Q54&lt;='Data Input 1'!$L$10,'Data Input 1'!$N$10,IF($Q54&lt;='Data Input 1'!$L$11,'Data Input 1'!$N$11,IF($Q54&lt;='Data Input 1'!$L$12,'Data Input 1'!$N$12,IF($Q54&lt;='Data Input 1'!$L$13,'Data Input 1'!$N$13,MAX('Data Input 1'!$N$10:$N$14))))))</f>
        <v>2</v>
      </c>
      <c r="S54" s="235">
        <f t="shared" si="8"/>
        <v>65</v>
      </c>
      <c r="T54" s="234">
        <f>IF($Q54&lt;='Data Input 1'!$J$10,0,IF($Q54&lt;='Data Input 1'!$L$10,'Data Input 1'!$O$10,IF($Q54&lt;='Data Input 1'!$L$11,'Data Input 1'!$O$11,IF($Q54&lt;='Data Input 1'!$L$12,'Data Input 1'!$O$12,IF($Q54&lt;='Data Input 1'!$L$13,'Data Input 1'!$O$13,MAX('Data Input 1'!$O$10:$O$14))))))</f>
        <v>3</v>
      </c>
      <c r="U54" s="235">
        <f t="shared" si="9"/>
        <v>66.25</v>
      </c>
      <c r="V54" s="236">
        <f t="shared" si="6"/>
        <v>1.9230769230769232E-2</v>
      </c>
      <c r="X54" s="233">
        <v>20000</v>
      </c>
      <c r="Y54" s="234">
        <f>IF($Q54&lt;='Data Input 1'!$J$18,0,IF($Q54&lt;='Data Input 1'!$L$18,'Data Input 1'!$N$18,IF($Q54&lt;='Data Input 1'!$L$19,'Data Input 1'!$N$19,IF($Q54&lt;='Data Input 1'!$L$20,'Data Input 1'!$N$20,IF($Q54&lt;='Data Input 1'!$L$21,'Data Input 1'!$N$21,MAX('Data Input 1'!$N$18:$N$22))))))</f>
        <v>2</v>
      </c>
      <c r="Z54" s="235">
        <f t="shared" si="10"/>
        <v>67</v>
      </c>
      <c r="AA54" s="234">
        <f>IF($Q54&lt;='Data Input 1'!$J$18,0,IF($Q54&lt;='Data Input 1'!$L$18,'Data Input 1'!$O$18,IF($Q54&lt;='Data Input 1'!$L$19,'Data Input 1'!$O$19,IF($Q54&lt;='Data Input 1'!$L$20,'Data Input 1'!$O$20,IF($Q54&lt;='Data Input 1'!$L$21,'Data Input 1'!$O$21,MAX('Data Input 1'!$O$18:$O$22))))))</f>
        <v>3.25</v>
      </c>
      <c r="AB54" s="235">
        <f t="shared" si="11"/>
        <v>70.25</v>
      </c>
      <c r="AC54" s="236">
        <f t="shared" si="7"/>
        <v>4.8507462686567165E-2</v>
      </c>
    </row>
    <row r="55" spans="17:29" x14ac:dyDescent="0.2">
      <c r="Q55" s="233">
        <v>21000</v>
      </c>
      <c r="R55" s="234">
        <f>IF($Q55&lt;='Data Input 1'!$J$10,0,IF($Q55&lt;='Data Input 1'!$L$10,'Data Input 1'!$N$10,IF($Q55&lt;='Data Input 1'!$L$11,'Data Input 1'!$N$11,IF($Q55&lt;='Data Input 1'!$L$12,'Data Input 1'!$N$12,IF($Q55&lt;='Data Input 1'!$L$13,'Data Input 1'!$N$13,MAX('Data Input 1'!$N$10:$N$14))))))</f>
        <v>2</v>
      </c>
      <c r="S55" s="235">
        <f t="shared" si="8"/>
        <v>67</v>
      </c>
      <c r="T55" s="234">
        <f>IF($Q55&lt;='Data Input 1'!$J$10,0,IF($Q55&lt;='Data Input 1'!$L$10,'Data Input 1'!$O$10,IF($Q55&lt;='Data Input 1'!$L$11,'Data Input 1'!$O$11,IF($Q55&lt;='Data Input 1'!$L$12,'Data Input 1'!$O$12,IF($Q55&lt;='Data Input 1'!$L$13,'Data Input 1'!$O$13,MAX('Data Input 1'!$O$10:$O$14))))))</f>
        <v>3</v>
      </c>
      <c r="U55" s="235">
        <f t="shared" si="9"/>
        <v>69.25</v>
      </c>
      <c r="V55" s="236">
        <f t="shared" si="6"/>
        <v>3.3582089552238806E-2</v>
      </c>
      <c r="X55" s="233">
        <v>21000</v>
      </c>
      <c r="Y55" s="234">
        <f>IF($Q55&lt;='Data Input 1'!$J$18,0,IF($Q55&lt;='Data Input 1'!$L$18,'Data Input 1'!$N$18,IF($Q55&lt;='Data Input 1'!$L$19,'Data Input 1'!$N$19,IF($Q55&lt;='Data Input 1'!$L$20,'Data Input 1'!$N$20,IF($Q55&lt;='Data Input 1'!$L$21,'Data Input 1'!$N$21,MAX('Data Input 1'!$N$18:$N$22))))))</f>
        <v>2</v>
      </c>
      <c r="Z55" s="235">
        <f t="shared" si="10"/>
        <v>69</v>
      </c>
      <c r="AA55" s="234">
        <f>IF($Q55&lt;='Data Input 1'!$J$18,0,IF($Q55&lt;='Data Input 1'!$L$18,'Data Input 1'!$O$18,IF($Q55&lt;='Data Input 1'!$L$19,'Data Input 1'!$O$19,IF($Q55&lt;='Data Input 1'!$L$20,'Data Input 1'!$O$20,IF($Q55&lt;='Data Input 1'!$L$21,'Data Input 1'!$O$21,MAX('Data Input 1'!$O$18:$O$22))))))</f>
        <v>3.25</v>
      </c>
      <c r="AB55" s="235">
        <f t="shared" si="11"/>
        <v>73.5</v>
      </c>
      <c r="AC55" s="236">
        <f t="shared" si="7"/>
        <v>6.5217391304347824E-2</v>
      </c>
    </row>
    <row r="56" spans="17:29" x14ac:dyDescent="0.2">
      <c r="Q56" s="233">
        <v>22000</v>
      </c>
      <c r="R56" s="234">
        <f>IF($Q56&lt;='Data Input 1'!$J$10,0,IF($Q56&lt;='Data Input 1'!$L$10,'Data Input 1'!$N$10,IF($Q56&lt;='Data Input 1'!$L$11,'Data Input 1'!$N$11,IF($Q56&lt;='Data Input 1'!$L$12,'Data Input 1'!$N$12,IF($Q56&lt;='Data Input 1'!$L$13,'Data Input 1'!$N$13,MAX('Data Input 1'!$N$10:$N$14))))))</f>
        <v>2</v>
      </c>
      <c r="S56" s="235">
        <f t="shared" si="8"/>
        <v>69</v>
      </c>
      <c r="T56" s="234">
        <f>IF($Q56&lt;='Data Input 1'!$J$10,0,IF($Q56&lt;='Data Input 1'!$L$10,'Data Input 1'!$O$10,IF($Q56&lt;='Data Input 1'!$L$11,'Data Input 1'!$O$11,IF($Q56&lt;='Data Input 1'!$L$12,'Data Input 1'!$O$12,IF($Q56&lt;='Data Input 1'!$L$13,'Data Input 1'!$O$13,MAX('Data Input 1'!$O$10:$O$14))))))</f>
        <v>3</v>
      </c>
      <c r="U56" s="235">
        <f t="shared" si="9"/>
        <v>72.25</v>
      </c>
      <c r="V56" s="236">
        <f t="shared" si="6"/>
        <v>4.710144927536232E-2</v>
      </c>
      <c r="X56" s="233">
        <v>22000</v>
      </c>
      <c r="Y56" s="234">
        <f>IF($Q56&lt;='Data Input 1'!$J$18,0,IF($Q56&lt;='Data Input 1'!$L$18,'Data Input 1'!$N$18,IF($Q56&lt;='Data Input 1'!$L$19,'Data Input 1'!$N$19,IF($Q56&lt;='Data Input 1'!$L$20,'Data Input 1'!$N$20,IF($Q56&lt;='Data Input 1'!$L$21,'Data Input 1'!$N$21,MAX('Data Input 1'!$N$18:$N$22))))))</f>
        <v>2</v>
      </c>
      <c r="Z56" s="235">
        <f t="shared" si="10"/>
        <v>71</v>
      </c>
      <c r="AA56" s="234">
        <f>IF($Q56&lt;='Data Input 1'!$J$18,0,IF($Q56&lt;='Data Input 1'!$L$18,'Data Input 1'!$O$18,IF($Q56&lt;='Data Input 1'!$L$19,'Data Input 1'!$O$19,IF($Q56&lt;='Data Input 1'!$L$20,'Data Input 1'!$O$20,IF($Q56&lt;='Data Input 1'!$L$21,'Data Input 1'!$O$21,MAX('Data Input 1'!$O$18:$O$22))))))</f>
        <v>3.25</v>
      </c>
      <c r="AB56" s="235">
        <f t="shared" si="11"/>
        <v>76.75</v>
      </c>
      <c r="AC56" s="236">
        <f t="shared" si="7"/>
        <v>8.098591549295775E-2</v>
      </c>
    </row>
    <row r="57" spans="17:29" x14ac:dyDescent="0.2">
      <c r="Q57" s="233">
        <v>23000</v>
      </c>
      <c r="R57" s="234">
        <f>IF($Q57&lt;='Data Input 1'!$J$10,0,IF($Q57&lt;='Data Input 1'!$L$10,'Data Input 1'!$N$10,IF($Q57&lt;='Data Input 1'!$L$11,'Data Input 1'!$N$11,IF($Q57&lt;='Data Input 1'!$L$12,'Data Input 1'!$N$12,IF($Q57&lt;='Data Input 1'!$L$13,'Data Input 1'!$N$13,MAX('Data Input 1'!$N$10:$N$14))))))</f>
        <v>2</v>
      </c>
      <c r="S57" s="235">
        <f t="shared" si="8"/>
        <v>71</v>
      </c>
      <c r="T57" s="234">
        <f>IF($Q57&lt;='Data Input 1'!$J$10,0,IF($Q57&lt;='Data Input 1'!$L$10,'Data Input 1'!$O$10,IF($Q57&lt;='Data Input 1'!$L$11,'Data Input 1'!$O$11,IF($Q57&lt;='Data Input 1'!$L$12,'Data Input 1'!$O$12,IF($Q57&lt;='Data Input 1'!$L$13,'Data Input 1'!$O$13,MAX('Data Input 1'!$O$10:$O$14))))))</f>
        <v>3</v>
      </c>
      <c r="U57" s="235">
        <f t="shared" si="9"/>
        <v>75.25</v>
      </c>
      <c r="V57" s="236">
        <f t="shared" si="6"/>
        <v>5.9859154929577461E-2</v>
      </c>
      <c r="X57" s="233">
        <v>23000</v>
      </c>
      <c r="Y57" s="234">
        <f>IF($Q57&lt;='Data Input 1'!$J$18,0,IF($Q57&lt;='Data Input 1'!$L$18,'Data Input 1'!$N$18,IF($Q57&lt;='Data Input 1'!$L$19,'Data Input 1'!$N$19,IF($Q57&lt;='Data Input 1'!$L$20,'Data Input 1'!$N$20,IF($Q57&lt;='Data Input 1'!$L$21,'Data Input 1'!$N$21,MAX('Data Input 1'!$N$18:$N$22))))))</f>
        <v>2</v>
      </c>
      <c r="Z57" s="235">
        <f t="shared" si="10"/>
        <v>73</v>
      </c>
      <c r="AA57" s="234">
        <f>IF($Q57&lt;='Data Input 1'!$J$18,0,IF($Q57&lt;='Data Input 1'!$L$18,'Data Input 1'!$O$18,IF($Q57&lt;='Data Input 1'!$L$19,'Data Input 1'!$O$19,IF($Q57&lt;='Data Input 1'!$L$20,'Data Input 1'!$O$20,IF($Q57&lt;='Data Input 1'!$L$21,'Data Input 1'!$O$21,MAX('Data Input 1'!$O$18:$O$22))))))</f>
        <v>3.25</v>
      </c>
      <c r="AB57" s="235">
        <f t="shared" si="11"/>
        <v>80</v>
      </c>
      <c r="AC57" s="236">
        <f t="shared" si="7"/>
        <v>9.5890410958904104E-2</v>
      </c>
    </row>
    <row r="58" spans="17:29" x14ac:dyDescent="0.2">
      <c r="Q58" s="233">
        <v>24000</v>
      </c>
      <c r="R58" s="234">
        <f>IF($Q58&lt;='Data Input 1'!$J$10,0,IF($Q58&lt;='Data Input 1'!$L$10,'Data Input 1'!$N$10,IF($Q58&lt;='Data Input 1'!$L$11,'Data Input 1'!$N$11,IF($Q58&lt;='Data Input 1'!$L$12,'Data Input 1'!$N$12,IF($Q58&lt;='Data Input 1'!$L$13,'Data Input 1'!$N$13,MAX('Data Input 1'!$N$10:$N$14))))))</f>
        <v>2</v>
      </c>
      <c r="S58" s="235">
        <f t="shared" si="8"/>
        <v>73</v>
      </c>
      <c r="T58" s="234">
        <f>IF($Q58&lt;='Data Input 1'!$J$10,0,IF($Q58&lt;='Data Input 1'!$L$10,'Data Input 1'!$O$10,IF($Q58&lt;='Data Input 1'!$L$11,'Data Input 1'!$O$11,IF($Q58&lt;='Data Input 1'!$L$12,'Data Input 1'!$O$12,IF($Q58&lt;='Data Input 1'!$L$13,'Data Input 1'!$O$13,MAX('Data Input 1'!$O$10:$O$14))))))</f>
        <v>3</v>
      </c>
      <c r="U58" s="235">
        <f t="shared" si="9"/>
        <v>78.25</v>
      </c>
      <c r="V58" s="236">
        <f t="shared" si="6"/>
        <v>7.1917808219178078E-2</v>
      </c>
      <c r="X58" s="233">
        <v>24000</v>
      </c>
      <c r="Y58" s="234">
        <f>IF($Q58&lt;='Data Input 1'!$J$18,0,IF($Q58&lt;='Data Input 1'!$L$18,'Data Input 1'!$N$18,IF($Q58&lt;='Data Input 1'!$L$19,'Data Input 1'!$N$19,IF($Q58&lt;='Data Input 1'!$L$20,'Data Input 1'!$N$20,IF($Q58&lt;='Data Input 1'!$L$21,'Data Input 1'!$N$21,MAX('Data Input 1'!$N$18:$N$22))))))</f>
        <v>2</v>
      </c>
      <c r="Z58" s="235">
        <f t="shared" si="10"/>
        <v>75</v>
      </c>
      <c r="AA58" s="234">
        <f>IF($Q58&lt;='Data Input 1'!$J$18,0,IF($Q58&lt;='Data Input 1'!$L$18,'Data Input 1'!$O$18,IF($Q58&lt;='Data Input 1'!$L$19,'Data Input 1'!$O$19,IF($Q58&lt;='Data Input 1'!$L$20,'Data Input 1'!$O$20,IF($Q58&lt;='Data Input 1'!$L$21,'Data Input 1'!$O$21,MAX('Data Input 1'!$O$18:$O$22))))))</f>
        <v>3.25</v>
      </c>
      <c r="AB58" s="235">
        <f t="shared" si="11"/>
        <v>83.25</v>
      </c>
      <c r="AC58" s="236">
        <f t="shared" si="7"/>
        <v>0.11</v>
      </c>
    </row>
    <row r="59" spans="17:29" x14ac:dyDescent="0.2">
      <c r="Q59" s="233">
        <v>25000</v>
      </c>
      <c r="R59" s="234">
        <f>IF($Q59&lt;='Data Input 1'!$J$10,0,IF($Q59&lt;='Data Input 1'!$L$10,'Data Input 1'!$N$10,IF($Q59&lt;='Data Input 1'!$L$11,'Data Input 1'!$N$11,IF($Q59&lt;='Data Input 1'!$L$12,'Data Input 1'!$N$12,IF($Q59&lt;='Data Input 1'!$L$13,'Data Input 1'!$N$13,MAX('Data Input 1'!$N$10:$N$14))))))</f>
        <v>2</v>
      </c>
      <c r="S59" s="235">
        <f t="shared" si="8"/>
        <v>75</v>
      </c>
      <c r="T59" s="234">
        <f>IF($Q59&lt;='Data Input 1'!$J$10,0,IF($Q59&lt;='Data Input 1'!$L$10,'Data Input 1'!$O$10,IF($Q59&lt;='Data Input 1'!$L$11,'Data Input 1'!$O$11,IF($Q59&lt;='Data Input 1'!$L$12,'Data Input 1'!$O$12,IF($Q59&lt;='Data Input 1'!$L$13,'Data Input 1'!$O$13,MAX('Data Input 1'!$O$10:$O$14))))))</f>
        <v>3</v>
      </c>
      <c r="U59" s="235">
        <f t="shared" si="9"/>
        <v>81.25</v>
      </c>
      <c r="V59" s="236">
        <f t="shared" si="6"/>
        <v>8.3333333333333329E-2</v>
      </c>
      <c r="X59" s="233">
        <v>25000</v>
      </c>
      <c r="Y59" s="234">
        <f>IF($Q59&lt;='Data Input 1'!$J$18,0,IF($Q59&lt;='Data Input 1'!$L$18,'Data Input 1'!$N$18,IF($Q59&lt;='Data Input 1'!$L$19,'Data Input 1'!$N$19,IF($Q59&lt;='Data Input 1'!$L$20,'Data Input 1'!$N$20,IF($Q59&lt;='Data Input 1'!$L$21,'Data Input 1'!$N$21,MAX('Data Input 1'!$N$18:$N$22))))))</f>
        <v>2</v>
      </c>
      <c r="Z59" s="235">
        <f t="shared" si="10"/>
        <v>77</v>
      </c>
      <c r="AA59" s="234">
        <f>IF($Q59&lt;='Data Input 1'!$J$18,0,IF($Q59&lt;='Data Input 1'!$L$18,'Data Input 1'!$O$18,IF($Q59&lt;='Data Input 1'!$L$19,'Data Input 1'!$O$19,IF($Q59&lt;='Data Input 1'!$L$20,'Data Input 1'!$O$20,IF($Q59&lt;='Data Input 1'!$L$21,'Data Input 1'!$O$21,MAX('Data Input 1'!$O$18:$O$22))))))</f>
        <v>3.25</v>
      </c>
      <c r="AB59" s="235">
        <f t="shared" si="11"/>
        <v>86.5</v>
      </c>
      <c r="AC59" s="236">
        <f t="shared" si="7"/>
        <v>0.12337662337662338</v>
      </c>
    </row>
    <row r="60" spans="17:29" x14ac:dyDescent="0.2">
      <c r="Q60" s="233">
        <v>26000</v>
      </c>
      <c r="R60" s="234">
        <f>IF($Q60&lt;='Data Input 1'!$J$10,0,IF($Q60&lt;='Data Input 1'!$L$10,'Data Input 1'!$N$10,IF($Q60&lt;='Data Input 1'!$L$11,'Data Input 1'!$N$11,IF($Q60&lt;='Data Input 1'!$L$12,'Data Input 1'!$N$12,IF($Q60&lt;='Data Input 1'!$L$13,'Data Input 1'!$N$13,MAX('Data Input 1'!$N$10:$N$14))))))</f>
        <v>2</v>
      </c>
      <c r="S60" s="235">
        <f t="shared" si="8"/>
        <v>77</v>
      </c>
      <c r="T60" s="234">
        <f>IF($Q60&lt;='Data Input 1'!$J$10,0,IF($Q60&lt;='Data Input 1'!$L$10,'Data Input 1'!$O$10,IF($Q60&lt;='Data Input 1'!$L$11,'Data Input 1'!$O$11,IF($Q60&lt;='Data Input 1'!$L$12,'Data Input 1'!$O$12,IF($Q60&lt;='Data Input 1'!$L$13,'Data Input 1'!$O$13,MAX('Data Input 1'!$O$10:$O$14))))))</f>
        <v>3</v>
      </c>
      <c r="U60" s="235">
        <f t="shared" si="9"/>
        <v>84.25</v>
      </c>
      <c r="V60" s="236">
        <f t="shared" si="6"/>
        <v>9.4155844155844159E-2</v>
      </c>
      <c r="X60" s="233">
        <v>26000</v>
      </c>
      <c r="Y60" s="234">
        <f>IF($Q60&lt;='Data Input 1'!$J$18,0,IF($Q60&lt;='Data Input 1'!$L$18,'Data Input 1'!$N$18,IF($Q60&lt;='Data Input 1'!$L$19,'Data Input 1'!$N$19,IF($Q60&lt;='Data Input 1'!$L$20,'Data Input 1'!$N$20,IF($Q60&lt;='Data Input 1'!$L$21,'Data Input 1'!$N$21,MAX('Data Input 1'!$N$18:$N$22))))))</f>
        <v>2</v>
      </c>
      <c r="Z60" s="235">
        <f t="shared" si="10"/>
        <v>79</v>
      </c>
      <c r="AA60" s="234">
        <f>IF($Q60&lt;='Data Input 1'!$J$18,0,IF($Q60&lt;='Data Input 1'!$L$18,'Data Input 1'!$O$18,IF($Q60&lt;='Data Input 1'!$L$19,'Data Input 1'!$O$19,IF($Q60&lt;='Data Input 1'!$L$20,'Data Input 1'!$O$20,IF($Q60&lt;='Data Input 1'!$L$21,'Data Input 1'!$O$21,MAX('Data Input 1'!$O$18:$O$22))))))</f>
        <v>3.25</v>
      </c>
      <c r="AB60" s="235">
        <f t="shared" si="11"/>
        <v>89.75</v>
      </c>
      <c r="AC60" s="236">
        <f t="shared" si="7"/>
        <v>0.13607594936708861</v>
      </c>
    </row>
    <row r="61" spans="17:29" x14ac:dyDescent="0.2">
      <c r="Q61" s="233">
        <v>27000</v>
      </c>
      <c r="R61" s="234">
        <f>IF($Q61&lt;='Data Input 1'!$J$10,0,IF($Q61&lt;='Data Input 1'!$L$10,'Data Input 1'!$N$10,IF($Q61&lt;='Data Input 1'!$L$11,'Data Input 1'!$N$11,IF($Q61&lt;='Data Input 1'!$L$12,'Data Input 1'!$N$12,IF($Q61&lt;='Data Input 1'!$L$13,'Data Input 1'!$N$13,MAX('Data Input 1'!$N$10:$N$14))))))</f>
        <v>2</v>
      </c>
      <c r="S61" s="235">
        <f t="shared" si="8"/>
        <v>79</v>
      </c>
      <c r="T61" s="234">
        <f>IF($Q61&lt;='Data Input 1'!$J$10,0,IF($Q61&lt;='Data Input 1'!$L$10,'Data Input 1'!$O$10,IF($Q61&lt;='Data Input 1'!$L$11,'Data Input 1'!$O$11,IF($Q61&lt;='Data Input 1'!$L$12,'Data Input 1'!$O$12,IF($Q61&lt;='Data Input 1'!$L$13,'Data Input 1'!$O$13,MAX('Data Input 1'!$O$10:$O$14))))))</f>
        <v>3</v>
      </c>
      <c r="U61" s="235">
        <f t="shared" si="9"/>
        <v>87.25</v>
      </c>
      <c r="V61" s="236">
        <f t="shared" si="6"/>
        <v>0.10443037974683544</v>
      </c>
      <c r="X61" s="233">
        <v>27000</v>
      </c>
      <c r="Y61" s="234">
        <f>IF($Q61&lt;='Data Input 1'!$J$18,0,IF($Q61&lt;='Data Input 1'!$L$18,'Data Input 1'!$N$18,IF($Q61&lt;='Data Input 1'!$L$19,'Data Input 1'!$N$19,IF($Q61&lt;='Data Input 1'!$L$20,'Data Input 1'!$N$20,IF($Q61&lt;='Data Input 1'!$L$21,'Data Input 1'!$N$21,MAX('Data Input 1'!$N$18:$N$22))))))</f>
        <v>2</v>
      </c>
      <c r="Z61" s="235">
        <f t="shared" si="10"/>
        <v>81</v>
      </c>
      <c r="AA61" s="234">
        <f>IF($Q61&lt;='Data Input 1'!$J$18,0,IF($Q61&lt;='Data Input 1'!$L$18,'Data Input 1'!$O$18,IF($Q61&lt;='Data Input 1'!$L$19,'Data Input 1'!$O$19,IF($Q61&lt;='Data Input 1'!$L$20,'Data Input 1'!$O$20,IF($Q61&lt;='Data Input 1'!$L$21,'Data Input 1'!$O$21,MAX('Data Input 1'!$O$18:$O$22))))))</f>
        <v>3.25</v>
      </c>
      <c r="AB61" s="235">
        <f t="shared" si="11"/>
        <v>93</v>
      </c>
      <c r="AC61" s="236">
        <f t="shared" si="7"/>
        <v>0.14814814814814814</v>
      </c>
    </row>
    <row r="62" spans="17:29" x14ac:dyDescent="0.2">
      <c r="Q62" s="233">
        <v>28000</v>
      </c>
      <c r="R62" s="234">
        <f>IF($Q62&lt;='Data Input 1'!$J$10,0,IF($Q62&lt;='Data Input 1'!$L$10,'Data Input 1'!$N$10,IF($Q62&lt;='Data Input 1'!$L$11,'Data Input 1'!$N$11,IF($Q62&lt;='Data Input 1'!$L$12,'Data Input 1'!$N$12,IF($Q62&lt;='Data Input 1'!$L$13,'Data Input 1'!$N$13,MAX('Data Input 1'!$N$10:$N$14))))))</f>
        <v>2</v>
      </c>
      <c r="S62" s="235">
        <f t="shared" si="8"/>
        <v>81</v>
      </c>
      <c r="T62" s="234">
        <f>IF($Q62&lt;='Data Input 1'!$J$10,0,IF($Q62&lt;='Data Input 1'!$L$10,'Data Input 1'!$O$10,IF($Q62&lt;='Data Input 1'!$L$11,'Data Input 1'!$O$11,IF($Q62&lt;='Data Input 1'!$L$12,'Data Input 1'!$O$12,IF($Q62&lt;='Data Input 1'!$L$13,'Data Input 1'!$O$13,MAX('Data Input 1'!$O$10:$O$14))))))</f>
        <v>3</v>
      </c>
      <c r="U62" s="235">
        <f t="shared" si="9"/>
        <v>90.25</v>
      </c>
      <c r="V62" s="236">
        <f t="shared" si="6"/>
        <v>0.11419753086419752</v>
      </c>
      <c r="X62" s="233">
        <v>28000</v>
      </c>
      <c r="Y62" s="234">
        <f>IF($Q62&lt;='Data Input 1'!$J$18,0,IF($Q62&lt;='Data Input 1'!$L$18,'Data Input 1'!$N$18,IF($Q62&lt;='Data Input 1'!$L$19,'Data Input 1'!$N$19,IF($Q62&lt;='Data Input 1'!$L$20,'Data Input 1'!$N$20,IF($Q62&lt;='Data Input 1'!$L$21,'Data Input 1'!$N$21,MAX('Data Input 1'!$N$18:$N$22))))))</f>
        <v>2</v>
      </c>
      <c r="Z62" s="235">
        <f t="shared" si="10"/>
        <v>83</v>
      </c>
      <c r="AA62" s="234">
        <f>IF($Q62&lt;='Data Input 1'!$J$18,0,IF($Q62&lt;='Data Input 1'!$L$18,'Data Input 1'!$O$18,IF($Q62&lt;='Data Input 1'!$L$19,'Data Input 1'!$O$19,IF($Q62&lt;='Data Input 1'!$L$20,'Data Input 1'!$O$20,IF($Q62&lt;='Data Input 1'!$L$21,'Data Input 1'!$O$21,MAX('Data Input 1'!$O$18:$O$22))))))</f>
        <v>3.25</v>
      </c>
      <c r="AB62" s="235">
        <f t="shared" si="11"/>
        <v>96.25</v>
      </c>
      <c r="AC62" s="236">
        <f t="shared" si="7"/>
        <v>0.15963855421686746</v>
      </c>
    </row>
    <row r="63" spans="17:29" x14ac:dyDescent="0.2">
      <c r="Q63" s="233">
        <v>29000</v>
      </c>
      <c r="R63" s="234">
        <f>IF($Q63&lt;='Data Input 1'!$J$10,0,IF($Q63&lt;='Data Input 1'!$L$10,'Data Input 1'!$N$10,IF($Q63&lt;='Data Input 1'!$L$11,'Data Input 1'!$N$11,IF($Q63&lt;='Data Input 1'!$L$12,'Data Input 1'!$N$12,IF($Q63&lt;='Data Input 1'!$L$13,'Data Input 1'!$N$13,MAX('Data Input 1'!$N$10:$N$14))))))</f>
        <v>2</v>
      </c>
      <c r="S63" s="235">
        <f t="shared" si="8"/>
        <v>83</v>
      </c>
      <c r="T63" s="234">
        <f>IF($Q63&lt;='Data Input 1'!$J$10,0,IF($Q63&lt;='Data Input 1'!$L$10,'Data Input 1'!$O$10,IF($Q63&lt;='Data Input 1'!$L$11,'Data Input 1'!$O$11,IF($Q63&lt;='Data Input 1'!$L$12,'Data Input 1'!$O$12,IF($Q63&lt;='Data Input 1'!$L$13,'Data Input 1'!$O$13,MAX('Data Input 1'!$O$10:$O$14))))))</f>
        <v>3</v>
      </c>
      <c r="U63" s="235">
        <f t="shared" si="9"/>
        <v>93.25</v>
      </c>
      <c r="V63" s="236">
        <f t="shared" si="6"/>
        <v>0.12349397590361445</v>
      </c>
      <c r="X63" s="233">
        <v>29000</v>
      </c>
      <c r="Y63" s="234">
        <f>IF($Q63&lt;='Data Input 1'!$J$18,0,IF($Q63&lt;='Data Input 1'!$L$18,'Data Input 1'!$N$18,IF($Q63&lt;='Data Input 1'!$L$19,'Data Input 1'!$N$19,IF($Q63&lt;='Data Input 1'!$L$20,'Data Input 1'!$N$20,IF($Q63&lt;='Data Input 1'!$L$21,'Data Input 1'!$N$21,MAX('Data Input 1'!$N$18:$N$22))))))</f>
        <v>2</v>
      </c>
      <c r="Z63" s="235">
        <f t="shared" si="10"/>
        <v>85</v>
      </c>
      <c r="AA63" s="234">
        <f>IF($Q63&lt;='Data Input 1'!$J$18,0,IF($Q63&lt;='Data Input 1'!$L$18,'Data Input 1'!$O$18,IF($Q63&lt;='Data Input 1'!$L$19,'Data Input 1'!$O$19,IF($Q63&lt;='Data Input 1'!$L$20,'Data Input 1'!$O$20,IF($Q63&lt;='Data Input 1'!$L$21,'Data Input 1'!$O$21,MAX('Data Input 1'!$O$18:$O$22))))))</f>
        <v>3.25</v>
      </c>
      <c r="AB63" s="235">
        <f t="shared" si="11"/>
        <v>99.5</v>
      </c>
      <c r="AC63" s="236">
        <f t="shared" si="7"/>
        <v>0.17058823529411765</v>
      </c>
    </row>
    <row r="64" spans="17:29" x14ac:dyDescent="0.2">
      <c r="Q64" s="233">
        <v>30000</v>
      </c>
      <c r="R64" s="234">
        <f>IF($Q64&lt;='Data Input 1'!$J$10,0,IF($Q64&lt;='Data Input 1'!$L$10,'Data Input 1'!$N$10,IF($Q64&lt;='Data Input 1'!$L$11,'Data Input 1'!$N$11,IF($Q64&lt;='Data Input 1'!$L$12,'Data Input 1'!$N$12,IF($Q64&lt;='Data Input 1'!$L$13,'Data Input 1'!$N$13,MAX('Data Input 1'!$N$10:$N$14))))))</f>
        <v>2</v>
      </c>
      <c r="S64" s="235">
        <f t="shared" si="8"/>
        <v>85</v>
      </c>
      <c r="T64" s="234">
        <f>IF($Q64&lt;='Data Input 1'!$J$10,0,IF($Q64&lt;='Data Input 1'!$L$10,'Data Input 1'!$O$10,IF($Q64&lt;='Data Input 1'!$L$11,'Data Input 1'!$O$11,IF($Q64&lt;='Data Input 1'!$L$12,'Data Input 1'!$O$12,IF($Q64&lt;='Data Input 1'!$L$13,'Data Input 1'!$O$13,MAX('Data Input 1'!$O$10:$O$14))))))</f>
        <v>3</v>
      </c>
      <c r="U64" s="235">
        <f t="shared" si="9"/>
        <v>96.25</v>
      </c>
      <c r="V64" s="236">
        <f t="shared" si="6"/>
        <v>0.13235294117647059</v>
      </c>
      <c r="X64" s="233">
        <v>30000</v>
      </c>
      <c r="Y64" s="234">
        <f>IF($Q64&lt;='Data Input 1'!$J$18,0,IF($Q64&lt;='Data Input 1'!$L$18,'Data Input 1'!$N$18,IF($Q64&lt;='Data Input 1'!$L$19,'Data Input 1'!$N$19,IF($Q64&lt;='Data Input 1'!$L$20,'Data Input 1'!$N$20,IF($Q64&lt;='Data Input 1'!$L$21,'Data Input 1'!$N$21,MAX('Data Input 1'!$N$18:$N$22))))))</f>
        <v>2</v>
      </c>
      <c r="Z64" s="235">
        <f t="shared" si="10"/>
        <v>87</v>
      </c>
      <c r="AA64" s="234">
        <f>IF($Q64&lt;='Data Input 1'!$J$18,0,IF($Q64&lt;='Data Input 1'!$L$18,'Data Input 1'!$O$18,IF($Q64&lt;='Data Input 1'!$L$19,'Data Input 1'!$O$19,IF($Q64&lt;='Data Input 1'!$L$20,'Data Input 1'!$O$20,IF($Q64&lt;='Data Input 1'!$L$21,'Data Input 1'!$O$21,MAX('Data Input 1'!$O$18:$O$22))))))</f>
        <v>3.25</v>
      </c>
      <c r="AB64" s="235">
        <f t="shared" si="11"/>
        <v>102.75</v>
      </c>
      <c r="AC64" s="236">
        <f t="shared" si="7"/>
        <v>0.18103448275862069</v>
      </c>
    </row>
    <row r="65" spans="17:29" x14ac:dyDescent="0.2">
      <c r="Q65" s="233">
        <v>31000</v>
      </c>
      <c r="R65" s="234">
        <f>IF($Q65&lt;='Data Input 1'!$J$10,0,IF($Q65&lt;='Data Input 1'!$L$10,'Data Input 1'!$N$10,IF($Q65&lt;='Data Input 1'!$L$11,'Data Input 1'!$N$11,IF($Q65&lt;='Data Input 1'!$L$12,'Data Input 1'!$N$12,IF($Q65&lt;='Data Input 1'!$L$13,'Data Input 1'!$N$13,MAX('Data Input 1'!$N$10:$N$14))))))</f>
        <v>2</v>
      </c>
      <c r="S65" s="235">
        <f t="shared" si="8"/>
        <v>87</v>
      </c>
      <c r="T65" s="234">
        <f>IF($Q65&lt;='Data Input 1'!$J$10,0,IF($Q65&lt;='Data Input 1'!$L$10,'Data Input 1'!$O$10,IF($Q65&lt;='Data Input 1'!$L$11,'Data Input 1'!$O$11,IF($Q65&lt;='Data Input 1'!$L$12,'Data Input 1'!$O$12,IF($Q65&lt;='Data Input 1'!$L$13,'Data Input 1'!$O$13,MAX('Data Input 1'!$O$10:$O$14))))))</f>
        <v>3</v>
      </c>
      <c r="U65" s="235">
        <f t="shared" si="9"/>
        <v>99.25</v>
      </c>
      <c r="V65" s="236">
        <f t="shared" si="6"/>
        <v>0.14080459770114942</v>
      </c>
      <c r="X65" s="233">
        <v>31000</v>
      </c>
      <c r="Y65" s="234">
        <f>IF($Q65&lt;='Data Input 1'!$J$18,0,IF($Q65&lt;='Data Input 1'!$L$18,'Data Input 1'!$N$18,IF($Q65&lt;='Data Input 1'!$L$19,'Data Input 1'!$N$19,IF($Q65&lt;='Data Input 1'!$L$20,'Data Input 1'!$N$20,IF($Q65&lt;='Data Input 1'!$L$21,'Data Input 1'!$N$21,MAX('Data Input 1'!$N$18:$N$22))))))</f>
        <v>2</v>
      </c>
      <c r="Z65" s="235">
        <f t="shared" si="10"/>
        <v>89</v>
      </c>
      <c r="AA65" s="234">
        <f>IF($Q65&lt;='Data Input 1'!$J$18,0,IF($Q65&lt;='Data Input 1'!$L$18,'Data Input 1'!$O$18,IF($Q65&lt;='Data Input 1'!$L$19,'Data Input 1'!$O$19,IF($Q65&lt;='Data Input 1'!$L$20,'Data Input 1'!$O$20,IF($Q65&lt;='Data Input 1'!$L$21,'Data Input 1'!$O$21,MAX('Data Input 1'!$O$18:$O$22))))))</f>
        <v>3.25</v>
      </c>
      <c r="AB65" s="235">
        <f t="shared" si="11"/>
        <v>106</v>
      </c>
      <c r="AC65" s="236">
        <f t="shared" si="7"/>
        <v>0.19101123595505617</v>
      </c>
    </row>
    <row r="66" spans="17:29" x14ac:dyDescent="0.2">
      <c r="Q66" s="233">
        <v>32000</v>
      </c>
      <c r="R66" s="234">
        <f>IF($Q66&lt;='Data Input 1'!$J$10,0,IF($Q66&lt;='Data Input 1'!$L$10,'Data Input 1'!$N$10,IF($Q66&lt;='Data Input 1'!$L$11,'Data Input 1'!$N$11,IF($Q66&lt;='Data Input 1'!$L$12,'Data Input 1'!$N$12,IF($Q66&lt;='Data Input 1'!$L$13,'Data Input 1'!$N$13,MAX('Data Input 1'!$N$10:$N$14))))))</f>
        <v>2</v>
      </c>
      <c r="S66" s="235">
        <f t="shared" si="8"/>
        <v>89</v>
      </c>
      <c r="T66" s="234">
        <f>IF($Q66&lt;='Data Input 1'!$J$10,0,IF($Q66&lt;='Data Input 1'!$L$10,'Data Input 1'!$O$10,IF($Q66&lt;='Data Input 1'!$L$11,'Data Input 1'!$O$11,IF($Q66&lt;='Data Input 1'!$L$12,'Data Input 1'!$O$12,IF($Q66&lt;='Data Input 1'!$L$13,'Data Input 1'!$O$13,MAX('Data Input 1'!$O$10:$O$14))))))</f>
        <v>3</v>
      </c>
      <c r="U66" s="235">
        <f t="shared" si="9"/>
        <v>102.25</v>
      </c>
      <c r="V66" s="236">
        <f t="shared" si="6"/>
        <v>0.14887640449438203</v>
      </c>
      <c r="X66" s="233">
        <v>32000</v>
      </c>
      <c r="Y66" s="234">
        <f>IF($Q66&lt;='Data Input 1'!$J$18,0,IF($Q66&lt;='Data Input 1'!$L$18,'Data Input 1'!$N$18,IF($Q66&lt;='Data Input 1'!$L$19,'Data Input 1'!$N$19,IF($Q66&lt;='Data Input 1'!$L$20,'Data Input 1'!$N$20,IF($Q66&lt;='Data Input 1'!$L$21,'Data Input 1'!$N$21,MAX('Data Input 1'!$N$18:$N$22))))))</f>
        <v>2</v>
      </c>
      <c r="Z66" s="235">
        <f t="shared" si="10"/>
        <v>91</v>
      </c>
      <c r="AA66" s="234">
        <f>IF($Q66&lt;='Data Input 1'!$J$18,0,IF($Q66&lt;='Data Input 1'!$L$18,'Data Input 1'!$O$18,IF($Q66&lt;='Data Input 1'!$L$19,'Data Input 1'!$O$19,IF($Q66&lt;='Data Input 1'!$L$20,'Data Input 1'!$O$20,IF($Q66&lt;='Data Input 1'!$L$21,'Data Input 1'!$O$21,MAX('Data Input 1'!$O$18:$O$22))))))</f>
        <v>3.25</v>
      </c>
      <c r="AB66" s="235">
        <f t="shared" si="11"/>
        <v>109.25</v>
      </c>
      <c r="AC66" s="236">
        <f t="shared" si="7"/>
        <v>0.20054945054945056</v>
      </c>
    </row>
    <row r="67" spans="17:29" x14ac:dyDescent="0.2">
      <c r="Q67" s="233">
        <v>33000</v>
      </c>
      <c r="R67" s="234">
        <f>IF($Q67&lt;='Data Input 1'!$J$10,0,IF($Q67&lt;='Data Input 1'!$L$10,'Data Input 1'!$N$10,IF($Q67&lt;='Data Input 1'!$L$11,'Data Input 1'!$N$11,IF($Q67&lt;='Data Input 1'!$L$12,'Data Input 1'!$N$12,IF($Q67&lt;='Data Input 1'!$L$13,'Data Input 1'!$N$13,MAX('Data Input 1'!$N$10:$N$14))))))</f>
        <v>2</v>
      </c>
      <c r="S67" s="235">
        <f t="shared" si="8"/>
        <v>91</v>
      </c>
      <c r="T67" s="234">
        <f>IF($Q67&lt;='Data Input 1'!$J$10,0,IF($Q67&lt;='Data Input 1'!$L$10,'Data Input 1'!$O$10,IF($Q67&lt;='Data Input 1'!$L$11,'Data Input 1'!$O$11,IF($Q67&lt;='Data Input 1'!$L$12,'Data Input 1'!$O$12,IF($Q67&lt;='Data Input 1'!$L$13,'Data Input 1'!$O$13,MAX('Data Input 1'!$O$10:$O$14))))))</f>
        <v>3</v>
      </c>
      <c r="U67" s="235">
        <f t="shared" si="9"/>
        <v>105.25</v>
      </c>
      <c r="V67" s="236">
        <f t="shared" si="6"/>
        <v>0.15659340659340659</v>
      </c>
      <c r="X67" s="233">
        <v>33000</v>
      </c>
      <c r="Y67" s="234">
        <f>IF($Q67&lt;='Data Input 1'!$J$18,0,IF($Q67&lt;='Data Input 1'!$L$18,'Data Input 1'!$N$18,IF($Q67&lt;='Data Input 1'!$L$19,'Data Input 1'!$N$19,IF($Q67&lt;='Data Input 1'!$L$20,'Data Input 1'!$N$20,IF($Q67&lt;='Data Input 1'!$L$21,'Data Input 1'!$N$21,MAX('Data Input 1'!$N$18:$N$22))))))</f>
        <v>2</v>
      </c>
      <c r="Z67" s="235">
        <f t="shared" si="10"/>
        <v>93</v>
      </c>
      <c r="AA67" s="234">
        <f>IF($Q67&lt;='Data Input 1'!$J$18,0,IF($Q67&lt;='Data Input 1'!$L$18,'Data Input 1'!$O$18,IF($Q67&lt;='Data Input 1'!$L$19,'Data Input 1'!$O$19,IF($Q67&lt;='Data Input 1'!$L$20,'Data Input 1'!$O$20,IF($Q67&lt;='Data Input 1'!$L$21,'Data Input 1'!$O$21,MAX('Data Input 1'!$O$18:$O$22))))))</f>
        <v>3.25</v>
      </c>
      <c r="AB67" s="235">
        <f t="shared" si="11"/>
        <v>112.5</v>
      </c>
      <c r="AC67" s="236">
        <f t="shared" si="7"/>
        <v>0.20967741935483872</v>
      </c>
    </row>
    <row r="68" spans="17:29" x14ac:dyDescent="0.2">
      <c r="Q68" s="233">
        <v>34000</v>
      </c>
      <c r="R68" s="234">
        <f>IF($Q68&lt;='Data Input 1'!$J$10,0,IF($Q68&lt;='Data Input 1'!$L$10,'Data Input 1'!$N$10,IF($Q68&lt;='Data Input 1'!$L$11,'Data Input 1'!$N$11,IF($Q68&lt;='Data Input 1'!$L$12,'Data Input 1'!$N$12,IF($Q68&lt;='Data Input 1'!$L$13,'Data Input 1'!$N$13,MAX('Data Input 1'!$N$10:$N$14))))))</f>
        <v>2</v>
      </c>
      <c r="S68" s="235">
        <f t="shared" si="8"/>
        <v>93</v>
      </c>
      <c r="T68" s="234">
        <f>IF($Q68&lt;='Data Input 1'!$J$10,0,IF($Q68&lt;='Data Input 1'!$L$10,'Data Input 1'!$O$10,IF($Q68&lt;='Data Input 1'!$L$11,'Data Input 1'!$O$11,IF($Q68&lt;='Data Input 1'!$L$12,'Data Input 1'!$O$12,IF($Q68&lt;='Data Input 1'!$L$13,'Data Input 1'!$O$13,MAX('Data Input 1'!$O$10:$O$14))))))</f>
        <v>3</v>
      </c>
      <c r="U68" s="235">
        <f t="shared" si="9"/>
        <v>108.25</v>
      </c>
      <c r="V68" s="236">
        <f t="shared" si="6"/>
        <v>0.16397849462365591</v>
      </c>
      <c r="X68" s="233">
        <v>34000</v>
      </c>
      <c r="Y68" s="234">
        <f>IF($Q68&lt;='Data Input 1'!$J$18,0,IF($Q68&lt;='Data Input 1'!$L$18,'Data Input 1'!$N$18,IF($Q68&lt;='Data Input 1'!$L$19,'Data Input 1'!$N$19,IF($Q68&lt;='Data Input 1'!$L$20,'Data Input 1'!$N$20,IF($Q68&lt;='Data Input 1'!$L$21,'Data Input 1'!$N$21,MAX('Data Input 1'!$N$18:$N$22))))))</f>
        <v>2</v>
      </c>
      <c r="Z68" s="235">
        <f t="shared" si="10"/>
        <v>95</v>
      </c>
      <c r="AA68" s="234">
        <f>IF($Q68&lt;='Data Input 1'!$J$18,0,IF($Q68&lt;='Data Input 1'!$L$18,'Data Input 1'!$O$18,IF($Q68&lt;='Data Input 1'!$L$19,'Data Input 1'!$O$19,IF($Q68&lt;='Data Input 1'!$L$20,'Data Input 1'!$O$20,IF($Q68&lt;='Data Input 1'!$L$21,'Data Input 1'!$O$21,MAX('Data Input 1'!$O$18:$O$22))))))</f>
        <v>3.25</v>
      </c>
      <c r="AB68" s="235">
        <f t="shared" si="11"/>
        <v>115.75</v>
      </c>
      <c r="AC68" s="236">
        <f t="shared" si="7"/>
        <v>0.21842105263157896</v>
      </c>
    </row>
    <row r="69" spans="17:29" x14ac:dyDescent="0.2">
      <c r="Q69" s="233">
        <v>35000</v>
      </c>
      <c r="R69" s="234">
        <f>IF($Q69&lt;='Data Input 1'!$J$10,0,IF($Q69&lt;='Data Input 1'!$L$10,'Data Input 1'!$N$10,IF($Q69&lt;='Data Input 1'!$L$11,'Data Input 1'!$N$11,IF($Q69&lt;='Data Input 1'!$L$12,'Data Input 1'!$N$12,IF($Q69&lt;='Data Input 1'!$L$13,'Data Input 1'!$N$13,MAX('Data Input 1'!$N$10:$N$14))))))</f>
        <v>2</v>
      </c>
      <c r="S69" s="235">
        <f t="shared" si="8"/>
        <v>95</v>
      </c>
      <c r="T69" s="234">
        <f>IF($Q69&lt;='Data Input 1'!$J$10,0,IF($Q69&lt;='Data Input 1'!$L$10,'Data Input 1'!$O$10,IF($Q69&lt;='Data Input 1'!$L$11,'Data Input 1'!$O$11,IF($Q69&lt;='Data Input 1'!$L$12,'Data Input 1'!$O$12,IF($Q69&lt;='Data Input 1'!$L$13,'Data Input 1'!$O$13,MAX('Data Input 1'!$O$10:$O$14))))))</f>
        <v>3</v>
      </c>
      <c r="U69" s="235">
        <f t="shared" si="9"/>
        <v>111.25</v>
      </c>
      <c r="V69" s="236">
        <f t="shared" si="6"/>
        <v>0.17105263157894737</v>
      </c>
      <c r="X69" s="233">
        <v>35000</v>
      </c>
      <c r="Y69" s="234">
        <f>IF($Q69&lt;='Data Input 1'!$J$18,0,IF($Q69&lt;='Data Input 1'!$L$18,'Data Input 1'!$N$18,IF($Q69&lt;='Data Input 1'!$L$19,'Data Input 1'!$N$19,IF($Q69&lt;='Data Input 1'!$L$20,'Data Input 1'!$N$20,IF($Q69&lt;='Data Input 1'!$L$21,'Data Input 1'!$N$21,MAX('Data Input 1'!$N$18:$N$22))))))</f>
        <v>2</v>
      </c>
      <c r="Z69" s="235">
        <f t="shared" si="10"/>
        <v>97</v>
      </c>
      <c r="AA69" s="234">
        <f>IF($Q69&lt;='Data Input 1'!$J$18,0,IF($Q69&lt;='Data Input 1'!$L$18,'Data Input 1'!$O$18,IF($Q69&lt;='Data Input 1'!$L$19,'Data Input 1'!$O$19,IF($Q69&lt;='Data Input 1'!$L$20,'Data Input 1'!$O$20,IF($Q69&lt;='Data Input 1'!$L$21,'Data Input 1'!$O$21,MAX('Data Input 1'!$O$18:$O$22))))))</f>
        <v>3.25</v>
      </c>
      <c r="AB69" s="235">
        <f t="shared" si="11"/>
        <v>119</v>
      </c>
      <c r="AC69" s="236">
        <f t="shared" si="7"/>
        <v>0.22680412371134021</v>
      </c>
    </row>
    <row r="70" spans="17:29" x14ac:dyDescent="0.2">
      <c r="Q70" s="233">
        <v>36000</v>
      </c>
      <c r="R70" s="234">
        <f>IF($Q70&lt;='Data Input 1'!$J$10,0,IF($Q70&lt;='Data Input 1'!$L$10,'Data Input 1'!$N$10,IF($Q70&lt;='Data Input 1'!$L$11,'Data Input 1'!$N$11,IF($Q70&lt;='Data Input 1'!$L$12,'Data Input 1'!$N$12,IF($Q70&lt;='Data Input 1'!$L$13,'Data Input 1'!$N$13,MAX('Data Input 1'!$N$10:$N$14))))))</f>
        <v>2</v>
      </c>
      <c r="S70" s="235">
        <f t="shared" si="8"/>
        <v>97</v>
      </c>
      <c r="T70" s="234">
        <f>IF($Q70&lt;='Data Input 1'!$J$10,0,IF($Q70&lt;='Data Input 1'!$L$10,'Data Input 1'!$O$10,IF($Q70&lt;='Data Input 1'!$L$11,'Data Input 1'!$O$11,IF($Q70&lt;='Data Input 1'!$L$12,'Data Input 1'!$O$12,IF($Q70&lt;='Data Input 1'!$L$13,'Data Input 1'!$O$13,MAX('Data Input 1'!$O$10:$O$14))))))</f>
        <v>3</v>
      </c>
      <c r="U70" s="235">
        <f t="shared" si="9"/>
        <v>114.25</v>
      </c>
      <c r="V70" s="236">
        <f t="shared" si="6"/>
        <v>0.17783505154639176</v>
      </c>
      <c r="X70" s="233">
        <v>36000</v>
      </c>
      <c r="Y70" s="234">
        <f>IF($Q70&lt;='Data Input 1'!$J$18,0,IF($Q70&lt;='Data Input 1'!$L$18,'Data Input 1'!$N$18,IF($Q70&lt;='Data Input 1'!$L$19,'Data Input 1'!$N$19,IF($Q70&lt;='Data Input 1'!$L$20,'Data Input 1'!$N$20,IF($Q70&lt;='Data Input 1'!$L$21,'Data Input 1'!$N$21,MAX('Data Input 1'!$N$18:$N$22))))))</f>
        <v>2</v>
      </c>
      <c r="Z70" s="235">
        <f t="shared" si="10"/>
        <v>99</v>
      </c>
      <c r="AA70" s="234">
        <f>IF($Q70&lt;='Data Input 1'!$J$18,0,IF($Q70&lt;='Data Input 1'!$L$18,'Data Input 1'!$O$18,IF($Q70&lt;='Data Input 1'!$L$19,'Data Input 1'!$O$19,IF($Q70&lt;='Data Input 1'!$L$20,'Data Input 1'!$O$20,IF($Q70&lt;='Data Input 1'!$L$21,'Data Input 1'!$O$21,MAX('Data Input 1'!$O$18:$O$22))))))</f>
        <v>3.25</v>
      </c>
      <c r="AB70" s="235">
        <f t="shared" si="11"/>
        <v>122.25</v>
      </c>
      <c r="AC70" s="236">
        <f t="shared" si="7"/>
        <v>0.23484848484848486</v>
      </c>
    </row>
    <row r="71" spans="17:29" x14ac:dyDescent="0.2">
      <c r="Q71" s="233">
        <v>37000</v>
      </c>
      <c r="R71" s="234">
        <f>IF($Q71&lt;='Data Input 1'!$J$10,0,IF($Q71&lt;='Data Input 1'!$L$10,'Data Input 1'!$N$10,IF($Q71&lt;='Data Input 1'!$L$11,'Data Input 1'!$N$11,IF($Q71&lt;='Data Input 1'!$L$12,'Data Input 1'!$N$12,IF($Q71&lt;='Data Input 1'!$L$13,'Data Input 1'!$N$13,MAX('Data Input 1'!$N$10:$N$14))))))</f>
        <v>2</v>
      </c>
      <c r="S71" s="235">
        <f t="shared" si="8"/>
        <v>99</v>
      </c>
      <c r="T71" s="234">
        <f>IF($Q71&lt;='Data Input 1'!$J$10,0,IF($Q71&lt;='Data Input 1'!$L$10,'Data Input 1'!$O$10,IF($Q71&lt;='Data Input 1'!$L$11,'Data Input 1'!$O$11,IF($Q71&lt;='Data Input 1'!$L$12,'Data Input 1'!$O$12,IF($Q71&lt;='Data Input 1'!$L$13,'Data Input 1'!$O$13,MAX('Data Input 1'!$O$10:$O$14))))))</f>
        <v>3</v>
      </c>
      <c r="U71" s="235">
        <f t="shared" si="9"/>
        <v>117.25</v>
      </c>
      <c r="V71" s="236">
        <f t="shared" si="6"/>
        <v>0.18434343434343434</v>
      </c>
      <c r="X71" s="233">
        <v>37000</v>
      </c>
      <c r="Y71" s="234">
        <f>IF($Q71&lt;='Data Input 1'!$J$18,0,IF($Q71&lt;='Data Input 1'!$L$18,'Data Input 1'!$N$18,IF($Q71&lt;='Data Input 1'!$L$19,'Data Input 1'!$N$19,IF($Q71&lt;='Data Input 1'!$L$20,'Data Input 1'!$N$20,IF($Q71&lt;='Data Input 1'!$L$21,'Data Input 1'!$N$21,MAX('Data Input 1'!$N$18:$N$22))))))</f>
        <v>2</v>
      </c>
      <c r="Z71" s="235">
        <f t="shared" si="10"/>
        <v>101</v>
      </c>
      <c r="AA71" s="234">
        <f>IF($Q71&lt;='Data Input 1'!$J$18,0,IF($Q71&lt;='Data Input 1'!$L$18,'Data Input 1'!$O$18,IF($Q71&lt;='Data Input 1'!$L$19,'Data Input 1'!$O$19,IF($Q71&lt;='Data Input 1'!$L$20,'Data Input 1'!$O$20,IF($Q71&lt;='Data Input 1'!$L$21,'Data Input 1'!$O$21,MAX('Data Input 1'!$O$18:$O$22))))))</f>
        <v>3.25</v>
      </c>
      <c r="AB71" s="235">
        <f t="shared" si="11"/>
        <v>125.5</v>
      </c>
      <c r="AC71" s="236">
        <f t="shared" si="7"/>
        <v>0.24257425742574257</v>
      </c>
    </row>
    <row r="72" spans="17:29" x14ac:dyDescent="0.2">
      <c r="Q72" s="233">
        <v>38000</v>
      </c>
      <c r="R72" s="234">
        <f>IF($Q72&lt;='Data Input 1'!$J$10,0,IF($Q72&lt;='Data Input 1'!$L$10,'Data Input 1'!$N$10,IF($Q72&lt;='Data Input 1'!$L$11,'Data Input 1'!$N$11,IF($Q72&lt;='Data Input 1'!$L$12,'Data Input 1'!$N$12,IF($Q72&lt;='Data Input 1'!$L$13,'Data Input 1'!$N$13,MAX('Data Input 1'!$N$10:$N$14))))))</f>
        <v>2</v>
      </c>
      <c r="S72" s="235">
        <f t="shared" si="8"/>
        <v>101</v>
      </c>
      <c r="T72" s="234">
        <f>IF($Q72&lt;='Data Input 1'!$J$10,0,IF($Q72&lt;='Data Input 1'!$L$10,'Data Input 1'!$O$10,IF($Q72&lt;='Data Input 1'!$L$11,'Data Input 1'!$O$11,IF($Q72&lt;='Data Input 1'!$L$12,'Data Input 1'!$O$12,IF($Q72&lt;='Data Input 1'!$L$13,'Data Input 1'!$O$13,MAX('Data Input 1'!$O$10:$O$14))))))</f>
        <v>3</v>
      </c>
      <c r="U72" s="235">
        <f t="shared" si="9"/>
        <v>120.25</v>
      </c>
      <c r="V72" s="236">
        <f t="shared" si="6"/>
        <v>0.1905940594059406</v>
      </c>
      <c r="X72" s="233">
        <v>38000</v>
      </c>
      <c r="Y72" s="234">
        <f>IF($Q72&lt;='Data Input 1'!$J$18,0,IF($Q72&lt;='Data Input 1'!$L$18,'Data Input 1'!$N$18,IF($Q72&lt;='Data Input 1'!$L$19,'Data Input 1'!$N$19,IF($Q72&lt;='Data Input 1'!$L$20,'Data Input 1'!$N$20,IF($Q72&lt;='Data Input 1'!$L$21,'Data Input 1'!$N$21,MAX('Data Input 1'!$N$18:$N$22))))))</f>
        <v>2</v>
      </c>
      <c r="Z72" s="235">
        <f t="shared" si="10"/>
        <v>103</v>
      </c>
      <c r="AA72" s="234">
        <f>IF($Q72&lt;='Data Input 1'!$J$18,0,IF($Q72&lt;='Data Input 1'!$L$18,'Data Input 1'!$O$18,IF($Q72&lt;='Data Input 1'!$L$19,'Data Input 1'!$O$19,IF($Q72&lt;='Data Input 1'!$L$20,'Data Input 1'!$O$20,IF($Q72&lt;='Data Input 1'!$L$21,'Data Input 1'!$O$21,MAX('Data Input 1'!$O$18:$O$22))))))</f>
        <v>3.25</v>
      </c>
      <c r="AB72" s="235">
        <f t="shared" si="11"/>
        <v>128.75</v>
      </c>
      <c r="AC72" s="236">
        <f t="shared" si="7"/>
        <v>0.25</v>
      </c>
    </row>
    <row r="73" spans="17:29" x14ac:dyDescent="0.2">
      <c r="Q73" s="233">
        <v>39000</v>
      </c>
      <c r="R73" s="234">
        <f>IF($Q73&lt;='Data Input 1'!$J$10,0,IF($Q73&lt;='Data Input 1'!$L$10,'Data Input 1'!$N$10,IF($Q73&lt;='Data Input 1'!$L$11,'Data Input 1'!$N$11,IF($Q73&lt;='Data Input 1'!$L$12,'Data Input 1'!$N$12,IF($Q73&lt;='Data Input 1'!$L$13,'Data Input 1'!$N$13,MAX('Data Input 1'!$N$10:$N$14))))))</f>
        <v>2</v>
      </c>
      <c r="S73" s="235">
        <f t="shared" si="8"/>
        <v>103</v>
      </c>
      <c r="T73" s="234">
        <f>IF($Q73&lt;='Data Input 1'!$J$10,0,IF($Q73&lt;='Data Input 1'!$L$10,'Data Input 1'!$O$10,IF($Q73&lt;='Data Input 1'!$L$11,'Data Input 1'!$O$11,IF($Q73&lt;='Data Input 1'!$L$12,'Data Input 1'!$O$12,IF($Q73&lt;='Data Input 1'!$L$13,'Data Input 1'!$O$13,MAX('Data Input 1'!$O$10:$O$14))))))</f>
        <v>3</v>
      </c>
      <c r="U73" s="235">
        <f t="shared" si="9"/>
        <v>123.25</v>
      </c>
      <c r="V73" s="236">
        <f t="shared" si="6"/>
        <v>0.19660194174757281</v>
      </c>
      <c r="X73" s="233">
        <v>39000</v>
      </c>
      <c r="Y73" s="234">
        <f>IF($Q73&lt;='Data Input 1'!$J$18,0,IF($Q73&lt;='Data Input 1'!$L$18,'Data Input 1'!$N$18,IF($Q73&lt;='Data Input 1'!$L$19,'Data Input 1'!$N$19,IF($Q73&lt;='Data Input 1'!$L$20,'Data Input 1'!$N$20,IF($Q73&lt;='Data Input 1'!$L$21,'Data Input 1'!$N$21,MAX('Data Input 1'!$N$18:$N$22))))))</f>
        <v>2</v>
      </c>
      <c r="Z73" s="235">
        <f t="shared" si="10"/>
        <v>105</v>
      </c>
      <c r="AA73" s="234">
        <f>IF($Q73&lt;='Data Input 1'!$J$18,0,IF($Q73&lt;='Data Input 1'!$L$18,'Data Input 1'!$O$18,IF($Q73&lt;='Data Input 1'!$L$19,'Data Input 1'!$O$19,IF($Q73&lt;='Data Input 1'!$L$20,'Data Input 1'!$O$20,IF($Q73&lt;='Data Input 1'!$L$21,'Data Input 1'!$O$21,MAX('Data Input 1'!$O$18:$O$22))))))</f>
        <v>3.25</v>
      </c>
      <c r="AB73" s="235">
        <f t="shared" si="11"/>
        <v>132</v>
      </c>
      <c r="AC73" s="236">
        <f t="shared" si="7"/>
        <v>0.25714285714285712</v>
      </c>
    </row>
    <row r="74" spans="17:29" x14ac:dyDescent="0.2">
      <c r="Q74" s="233">
        <v>40000</v>
      </c>
      <c r="R74" s="234">
        <f>IF($Q74&lt;='Data Input 1'!$J$10,0,IF($Q74&lt;='Data Input 1'!$L$10,'Data Input 1'!$N$10,IF($Q74&lt;='Data Input 1'!$L$11,'Data Input 1'!$N$11,IF($Q74&lt;='Data Input 1'!$L$12,'Data Input 1'!$N$12,IF($Q74&lt;='Data Input 1'!$L$13,'Data Input 1'!$N$13,MAX('Data Input 1'!$N$10:$N$14))))))</f>
        <v>2</v>
      </c>
      <c r="S74" s="235">
        <f t="shared" si="8"/>
        <v>105</v>
      </c>
      <c r="T74" s="234">
        <f>IF($Q74&lt;='Data Input 1'!$J$10,0,IF($Q74&lt;='Data Input 1'!$L$10,'Data Input 1'!$O$10,IF($Q74&lt;='Data Input 1'!$L$11,'Data Input 1'!$O$11,IF($Q74&lt;='Data Input 1'!$L$12,'Data Input 1'!$O$12,IF($Q74&lt;='Data Input 1'!$L$13,'Data Input 1'!$O$13,MAX('Data Input 1'!$O$10:$O$14))))))</f>
        <v>3</v>
      </c>
      <c r="U74" s="235">
        <f t="shared" si="9"/>
        <v>126.25</v>
      </c>
      <c r="V74" s="236">
        <f t="shared" si="6"/>
        <v>0.20238095238095238</v>
      </c>
      <c r="X74" s="233">
        <v>40000</v>
      </c>
      <c r="Y74" s="234">
        <f>IF($Q74&lt;='Data Input 1'!$J$18,0,IF($Q74&lt;='Data Input 1'!$L$18,'Data Input 1'!$N$18,IF($Q74&lt;='Data Input 1'!$L$19,'Data Input 1'!$N$19,IF($Q74&lt;='Data Input 1'!$L$20,'Data Input 1'!$N$20,IF($Q74&lt;='Data Input 1'!$L$21,'Data Input 1'!$N$21,MAX('Data Input 1'!$N$18:$N$22))))))</f>
        <v>2</v>
      </c>
      <c r="Z74" s="235">
        <f t="shared" si="10"/>
        <v>107</v>
      </c>
      <c r="AA74" s="234">
        <f>IF($Q74&lt;='Data Input 1'!$J$18,0,IF($Q74&lt;='Data Input 1'!$L$18,'Data Input 1'!$O$18,IF($Q74&lt;='Data Input 1'!$L$19,'Data Input 1'!$O$19,IF($Q74&lt;='Data Input 1'!$L$20,'Data Input 1'!$O$20,IF($Q74&lt;='Data Input 1'!$L$21,'Data Input 1'!$O$21,MAX('Data Input 1'!$O$18:$O$22))))))</f>
        <v>3.25</v>
      </c>
      <c r="AB74" s="235">
        <f t="shared" si="11"/>
        <v>135.25</v>
      </c>
      <c r="AC74" s="236">
        <f t="shared" si="7"/>
        <v>0.26401869158878505</v>
      </c>
    </row>
    <row r="75" spans="17:29" x14ac:dyDescent="0.2">
      <c r="Q75" s="233">
        <v>41000</v>
      </c>
      <c r="R75" s="234">
        <f>IF($Q75&lt;='Data Input 1'!$J$10,0,IF($Q75&lt;='Data Input 1'!$L$10,'Data Input 1'!$N$10,IF($Q75&lt;='Data Input 1'!$L$11,'Data Input 1'!$N$11,IF($Q75&lt;='Data Input 1'!$L$12,'Data Input 1'!$N$12,IF($Q75&lt;='Data Input 1'!$L$13,'Data Input 1'!$N$13,MAX('Data Input 1'!$N$10:$N$14))))))</f>
        <v>2</v>
      </c>
      <c r="S75" s="235">
        <f t="shared" si="8"/>
        <v>107</v>
      </c>
      <c r="T75" s="234">
        <f>IF($Q75&lt;='Data Input 1'!$J$10,0,IF($Q75&lt;='Data Input 1'!$L$10,'Data Input 1'!$O$10,IF($Q75&lt;='Data Input 1'!$L$11,'Data Input 1'!$O$11,IF($Q75&lt;='Data Input 1'!$L$12,'Data Input 1'!$O$12,IF($Q75&lt;='Data Input 1'!$L$13,'Data Input 1'!$O$13,MAX('Data Input 1'!$O$10:$O$14))))))</f>
        <v>3</v>
      </c>
      <c r="U75" s="235">
        <f t="shared" si="9"/>
        <v>129.25</v>
      </c>
      <c r="V75" s="236">
        <f t="shared" si="6"/>
        <v>0.20794392523364486</v>
      </c>
      <c r="X75" s="233">
        <v>41000</v>
      </c>
      <c r="Y75" s="234">
        <f>IF($Q75&lt;='Data Input 1'!$J$18,0,IF($Q75&lt;='Data Input 1'!$L$18,'Data Input 1'!$N$18,IF($Q75&lt;='Data Input 1'!$L$19,'Data Input 1'!$N$19,IF($Q75&lt;='Data Input 1'!$L$20,'Data Input 1'!$N$20,IF($Q75&lt;='Data Input 1'!$L$21,'Data Input 1'!$N$21,MAX('Data Input 1'!$N$18:$N$22))))))</f>
        <v>2</v>
      </c>
      <c r="Z75" s="235">
        <f t="shared" si="10"/>
        <v>109</v>
      </c>
      <c r="AA75" s="234">
        <f>IF($Q75&lt;='Data Input 1'!$J$18,0,IF($Q75&lt;='Data Input 1'!$L$18,'Data Input 1'!$O$18,IF($Q75&lt;='Data Input 1'!$L$19,'Data Input 1'!$O$19,IF($Q75&lt;='Data Input 1'!$L$20,'Data Input 1'!$O$20,IF($Q75&lt;='Data Input 1'!$L$21,'Data Input 1'!$O$21,MAX('Data Input 1'!$O$18:$O$22))))))</f>
        <v>3.25</v>
      </c>
      <c r="AB75" s="235">
        <f t="shared" si="11"/>
        <v>138.5</v>
      </c>
      <c r="AC75" s="236">
        <f t="shared" si="7"/>
        <v>0.27064220183486237</v>
      </c>
    </row>
    <row r="76" spans="17:29" x14ac:dyDescent="0.2">
      <c r="Q76" s="233">
        <v>42000</v>
      </c>
      <c r="R76" s="234">
        <f>IF($Q76&lt;='Data Input 1'!$J$10,0,IF($Q76&lt;='Data Input 1'!$L$10,'Data Input 1'!$N$10,IF($Q76&lt;='Data Input 1'!$L$11,'Data Input 1'!$N$11,IF($Q76&lt;='Data Input 1'!$L$12,'Data Input 1'!$N$12,IF($Q76&lt;='Data Input 1'!$L$13,'Data Input 1'!$N$13,MAX('Data Input 1'!$N$10:$N$14))))))</f>
        <v>2</v>
      </c>
      <c r="S76" s="235">
        <f t="shared" si="8"/>
        <v>109</v>
      </c>
      <c r="T76" s="234">
        <f>IF($Q76&lt;='Data Input 1'!$J$10,0,IF($Q76&lt;='Data Input 1'!$L$10,'Data Input 1'!$O$10,IF($Q76&lt;='Data Input 1'!$L$11,'Data Input 1'!$O$11,IF($Q76&lt;='Data Input 1'!$L$12,'Data Input 1'!$O$12,IF($Q76&lt;='Data Input 1'!$L$13,'Data Input 1'!$O$13,MAX('Data Input 1'!$O$10:$O$14))))))</f>
        <v>3</v>
      </c>
      <c r="U76" s="235">
        <f t="shared" si="9"/>
        <v>132.25</v>
      </c>
      <c r="V76" s="236">
        <f t="shared" si="6"/>
        <v>0.21330275229357798</v>
      </c>
      <c r="X76" s="233">
        <v>42000</v>
      </c>
      <c r="Y76" s="234">
        <f>IF($Q76&lt;='Data Input 1'!$J$18,0,IF($Q76&lt;='Data Input 1'!$L$18,'Data Input 1'!$N$18,IF($Q76&lt;='Data Input 1'!$L$19,'Data Input 1'!$N$19,IF($Q76&lt;='Data Input 1'!$L$20,'Data Input 1'!$N$20,IF($Q76&lt;='Data Input 1'!$L$21,'Data Input 1'!$N$21,MAX('Data Input 1'!$N$18:$N$22))))))</f>
        <v>2</v>
      </c>
      <c r="Z76" s="235">
        <f t="shared" si="10"/>
        <v>111</v>
      </c>
      <c r="AA76" s="234">
        <f>IF($Q76&lt;='Data Input 1'!$J$18,0,IF($Q76&lt;='Data Input 1'!$L$18,'Data Input 1'!$O$18,IF($Q76&lt;='Data Input 1'!$L$19,'Data Input 1'!$O$19,IF($Q76&lt;='Data Input 1'!$L$20,'Data Input 1'!$O$20,IF($Q76&lt;='Data Input 1'!$L$21,'Data Input 1'!$O$21,MAX('Data Input 1'!$O$18:$O$22))))))</f>
        <v>3.25</v>
      </c>
      <c r="AB76" s="235">
        <f t="shared" si="11"/>
        <v>141.75</v>
      </c>
      <c r="AC76" s="236">
        <f t="shared" si="7"/>
        <v>0.27702702702702703</v>
      </c>
    </row>
    <row r="77" spans="17:29" x14ac:dyDescent="0.2">
      <c r="Q77" s="233">
        <v>43000</v>
      </c>
      <c r="R77" s="234">
        <f>IF($Q77&lt;='Data Input 1'!$J$10,0,IF($Q77&lt;='Data Input 1'!$L$10,'Data Input 1'!$N$10,IF($Q77&lt;='Data Input 1'!$L$11,'Data Input 1'!$N$11,IF($Q77&lt;='Data Input 1'!$L$12,'Data Input 1'!$N$12,IF($Q77&lt;='Data Input 1'!$L$13,'Data Input 1'!$N$13,MAX('Data Input 1'!$N$10:$N$14))))))</f>
        <v>2</v>
      </c>
      <c r="S77" s="235">
        <f t="shared" si="8"/>
        <v>111</v>
      </c>
      <c r="T77" s="234">
        <f>IF($Q77&lt;='Data Input 1'!$J$10,0,IF($Q77&lt;='Data Input 1'!$L$10,'Data Input 1'!$O$10,IF($Q77&lt;='Data Input 1'!$L$11,'Data Input 1'!$O$11,IF($Q77&lt;='Data Input 1'!$L$12,'Data Input 1'!$O$12,IF($Q77&lt;='Data Input 1'!$L$13,'Data Input 1'!$O$13,MAX('Data Input 1'!$O$10:$O$14))))))</f>
        <v>3</v>
      </c>
      <c r="U77" s="235">
        <f t="shared" si="9"/>
        <v>135.25</v>
      </c>
      <c r="V77" s="236">
        <f t="shared" si="6"/>
        <v>0.21846846846846846</v>
      </c>
      <c r="X77" s="233">
        <v>43000</v>
      </c>
      <c r="Y77" s="234">
        <f>IF($Q77&lt;='Data Input 1'!$J$18,0,IF($Q77&lt;='Data Input 1'!$L$18,'Data Input 1'!$N$18,IF($Q77&lt;='Data Input 1'!$L$19,'Data Input 1'!$N$19,IF($Q77&lt;='Data Input 1'!$L$20,'Data Input 1'!$N$20,IF($Q77&lt;='Data Input 1'!$L$21,'Data Input 1'!$N$21,MAX('Data Input 1'!$N$18:$N$22))))))</f>
        <v>2</v>
      </c>
      <c r="Z77" s="235">
        <f t="shared" si="10"/>
        <v>113</v>
      </c>
      <c r="AA77" s="234">
        <f>IF($Q77&lt;='Data Input 1'!$J$18,0,IF($Q77&lt;='Data Input 1'!$L$18,'Data Input 1'!$O$18,IF($Q77&lt;='Data Input 1'!$L$19,'Data Input 1'!$O$19,IF($Q77&lt;='Data Input 1'!$L$20,'Data Input 1'!$O$20,IF($Q77&lt;='Data Input 1'!$L$21,'Data Input 1'!$O$21,MAX('Data Input 1'!$O$18:$O$22))))))</f>
        <v>3.25</v>
      </c>
      <c r="AB77" s="235">
        <f t="shared" si="11"/>
        <v>145</v>
      </c>
      <c r="AC77" s="236">
        <f t="shared" si="7"/>
        <v>0.2831858407079646</v>
      </c>
    </row>
    <row r="78" spans="17:29" x14ac:dyDescent="0.2">
      <c r="Q78" s="233">
        <v>44000</v>
      </c>
      <c r="R78" s="234">
        <f>IF($Q78&lt;='Data Input 1'!$J$10,0,IF($Q78&lt;='Data Input 1'!$L$10,'Data Input 1'!$N$10,IF($Q78&lt;='Data Input 1'!$L$11,'Data Input 1'!$N$11,IF($Q78&lt;='Data Input 1'!$L$12,'Data Input 1'!$N$12,IF($Q78&lt;='Data Input 1'!$L$13,'Data Input 1'!$N$13,MAX('Data Input 1'!$N$10:$N$14))))))</f>
        <v>2</v>
      </c>
      <c r="S78" s="235">
        <f t="shared" si="8"/>
        <v>113</v>
      </c>
      <c r="T78" s="234">
        <f>IF($Q78&lt;='Data Input 1'!$J$10,0,IF($Q78&lt;='Data Input 1'!$L$10,'Data Input 1'!$O$10,IF($Q78&lt;='Data Input 1'!$L$11,'Data Input 1'!$O$11,IF($Q78&lt;='Data Input 1'!$L$12,'Data Input 1'!$O$12,IF($Q78&lt;='Data Input 1'!$L$13,'Data Input 1'!$O$13,MAX('Data Input 1'!$O$10:$O$14))))))</f>
        <v>3</v>
      </c>
      <c r="U78" s="235">
        <f t="shared" si="9"/>
        <v>138.25</v>
      </c>
      <c r="V78" s="236">
        <f t="shared" si="6"/>
        <v>0.22345132743362831</v>
      </c>
      <c r="X78" s="233">
        <v>44000</v>
      </c>
      <c r="Y78" s="234">
        <f>IF($Q78&lt;='Data Input 1'!$J$18,0,IF($Q78&lt;='Data Input 1'!$L$18,'Data Input 1'!$N$18,IF($Q78&lt;='Data Input 1'!$L$19,'Data Input 1'!$N$19,IF($Q78&lt;='Data Input 1'!$L$20,'Data Input 1'!$N$20,IF($Q78&lt;='Data Input 1'!$L$21,'Data Input 1'!$N$21,MAX('Data Input 1'!$N$18:$N$22))))))</f>
        <v>2</v>
      </c>
      <c r="Z78" s="235">
        <f t="shared" si="10"/>
        <v>115</v>
      </c>
      <c r="AA78" s="234">
        <f>IF($Q78&lt;='Data Input 1'!$J$18,0,IF($Q78&lt;='Data Input 1'!$L$18,'Data Input 1'!$O$18,IF($Q78&lt;='Data Input 1'!$L$19,'Data Input 1'!$O$19,IF($Q78&lt;='Data Input 1'!$L$20,'Data Input 1'!$O$20,IF($Q78&lt;='Data Input 1'!$L$21,'Data Input 1'!$O$21,MAX('Data Input 1'!$O$18:$O$22))))))</f>
        <v>3.25</v>
      </c>
      <c r="AB78" s="235">
        <f t="shared" si="11"/>
        <v>148.25</v>
      </c>
      <c r="AC78" s="236">
        <f t="shared" si="7"/>
        <v>0.28913043478260869</v>
      </c>
    </row>
    <row r="79" spans="17:29" x14ac:dyDescent="0.2">
      <c r="Q79" s="233">
        <v>45000</v>
      </c>
      <c r="R79" s="234">
        <f>IF($Q79&lt;='Data Input 1'!$J$10,0,IF($Q79&lt;='Data Input 1'!$L$10,'Data Input 1'!$N$10,IF($Q79&lt;='Data Input 1'!$L$11,'Data Input 1'!$N$11,IF($Q79&lt;='Data Input 1'!$L$12,'Data Input 1'!$N$12,IF($Q79&lt;='Data Input 1'!$L$13,'Data Input 1'!$N$13,MAX('Data Input 1'!$N$10:$N$14))))))</f>
        <v>2</v>
      </c>
      <c r="S79" s="235">
        <f t="shared" si="8"/>
        <v>115</v>
      </c>
      <c r="T79" s="234">
        <f>IF($Q79&lt;='Data Input 1'!$J$10,0,IF($Q79&lt;='Data Input 1'!$L$10,'Data Input 1'!$O$10,IF($Q79&lt;='Data Input 1'!$L$11,'Data Input 1'!$O$11,IF($Q79&lt;='Data Input 1'!$L$12,'Data Input 1'!$O$12,IF($Q79&lt;='Data Input 1'!$L$13,'Data Input 1'!$O$13,MAX('Data Input 1'!$O$10:$O$14))))))</f>
        <v>3</v>
      </c>
      <c r="U79" s="235">
        <f t="shared" si="9"/>
        <v>141.25</v>
      </c>
      <c r="V79" s="236">
        <f t="shared" si="6"/>
        <v>0.22826086956521738</v>
      </c>
      <c r="X79" s="233">
        <v>45000</v>
      </c>
      <c r="Y79" s="234">
        <f>IF($Q79&lt;='Data Input 1'!$J$18,0,IF($Q79&lt;='Data Input 1'!$L$18,'Data Input 1'!$N$18,IF($Q79&lt;='Data Input 1'!$L$19,'Data Input 1'!$N$19,IF($Q79&lt;='Data Input 1'!$L$20,'Data Input 1'!$N$20,IF($Q79&lt;='Data Input 1'!$L$21,'Data Input 1'!$N$21,MAX('Data Input 1'!$N$18:$N$22))))))</f>
        <v>2</v>
      </c>
      <c r="Z79" s="235">
        <f t="shared" si="10"/>
        <v>117</v>
      </c>
      <c r="AA79" s="234">
        <f>IF($Q79&lt;='Data Input 1'!$J$18,0,IF($Q79&lt;='Data Input 1'!$L$18,'Data Input 1'!$O$18,IF($Q79&lt;='Data Input 1'!$L$19,'Data Input 1'!$O$19,IF($Q79&lt;='Data Input 1'!$L$20,'Data Input 1'!$O$20,IF($Q79&lt;='Data Input 1'!$L$21,'Data Input 1'!$O$21,MAX('Data Input 1'!$O$18:$O$22))))))</f>
        <v>3.25</v>
      </c>
      <c r="AB79" s="235">
        <f t="shared" si="11"/>
        <v>151.5</v>
      </c>
      <c r="AC79" s="236">
        <f t="shared" si="7"/>
        <v>0.29487179487179488</v>
      </c>
    </row>
    <row r="80" spans="17:29" x14ac:dyDescent="0.2">
      <c r="Q80" s="233">
        <v>46000</v>
      </c>
      <c r="R80" s="234">
        <f>IF($Q80&lt;='Data Input 1'!$J$10,0,IF($Q80&lt;='Data Input 1'!$L$10,'Data Input 1'!$N$10,IF($Q80&lt;='Data Input 1'!$L$11,'Data Input 1'!$N$11,IF($Q80&lt;='Data Input 1'!$L$12,'Data Input 1'!$N$12,IF($Q80&lt;='Data Input 1'!$L$13,'Data Input 1'!$N$13,MAX('Data Input 1'!$N$10:$N$14))))))</f>
        <v>2</v>
      </c>
      <c r="S80" s="235">
        <f t="shared" si="8"/>
        <v>117</v>
      </c>
      <c r="T80" s="234">
        <f>IF($Q80&lt;='Data Input 1'!$J$10,0,IF($Q80&lt;='Data Input 1'!$L$10,'Data Input 1'!$O$10,IF($Q80&lt;='Data Input 1'!$L$11,'Data Input 1'!$O$11,IF($Q80&lt;='Data Input 1'!$L$12,'Data Input 1'!$O$12,IF($Q80&lt;='Data Input 1'!$L$13,'Data Input 1'!$O$13,MAX('Data Input 1'!$O$10:$O$14))))))</f>
        <v>3</v>
      </c>
      <c r="U80" s="235">
        <f t="shared" si="9"/>
        <v>144.25</v>
      </c>
      <c r="V80" s="236">
        <f t="shared" si="6"/>
        <v>0.23290598290598291</v>
      </c>
      <c r="X80" s="233">
        <v>46000</v>
      </c>
      <c r="Y80" s="234">
        <f>IF($Q80&lt;='Data Input 1'!$J$18,0,IF($Q80&lt;='Data Input 1'!$L$18,'Data Input 1'!$N$18,IF($Q80&lt;='Data Input 1'!$L$19,'Data Input 1'!$N$19,IF($Q80&lt;='Data Input 1'!$L$20,'Data Input 1'!$N$20,IF($Q80&lt;='Data Input 1'!$L$21,'Data Input 1'!$N$21,MAX('Data Input 1'!$N$18:$N$22))))))</f>
        <v>2</v>
      </c>
      <c r="Z80" s="235">
        <f t="shared" si="10"/>
        <v>119</v>
      </c>
      <c r="AA80" s="234">
        <f>IF($Q80&lt;='Data Input 1'!$J$18,0,IF($Q80&lt;='Data Input 1'!$L$18,'Data Input 1'!$O$18,IF($Q80&lt;='Data Input 1'!$L$19,'Data Input 1'!$O$19,IF($Q80&lt;='Data Input 1'!$L$20,'Data Input 1'!$O$20,IF($Q80&lt;='Data Input 1'!$L$21,'Data Input 1'!$O$21,MAX('Data Input 1'!$O$18:$O$22))))))</f>
        <v>3.25</v>
      </c>
      <c r="AB80" s="235">
        <f t="shared" si="11"/>
        <v>154.75</v>
      </c>
      <c r="AC80" s="236">
        <f t="shared" si="7"/>
        <v>0.30042016806722688</v>
      </c>
    </row>
    <row r="81" spans="17:29" x14ac:dyDescent="0.2">
      <c r="Q81" s="233">
        <v>47000</v>
      </c>
      <c r="R81" s="234">
        <f>IF($Q81&lt;='Data Input 1'!$J$10,0,IF($Q81&lt;='Data Input 1'!$L$10,'Data Input 1'!$N$10,IF($Q81&lt;='Data Input 1'!$L$11,'Data Input 1'!$N$11,IF($Q81&lt;='Data Input 1'!$L$12,'Data Input 1'!$N$12,IF($Q81&lt;='Data Input 1'!$L$13,'Data Input 1'!$N$13,MAX('Data Input 1'!$N$10:$N$14))))))</f>
        <v>2</v>
      </c>
      <c r="S81" s="235">
        <f t="shared" si="8"/>
        <v>119</v>
      </c>
      <c r="T81" s="234">
        <f>IF($Q81&lt;='Data Input 1'!$J$10,0,IF($Q81&lt;='Data Input 1'!$L$10,'Data Input 1'!$O$10,IF($Q81&lt;='Data Input 1'!$L$11,'Data Input 1'!$O$11,IF($Q81&lt;='Data Input 1'!$L$12,'Data Input 1'!$O$12,IF($Q81&lt;='Data Input 1'!$L$13,'Data Input 1'!$O$13,MAX('Data Input 1'!$O$10:$O$14))))))</f>
        <v>3</v>
      </c>
      <c r="U81" s="235">
        <f t="shared" si="9"/>
        <v>147.25</v>
      </c>
      <c r="V81" s="236">
        <f t="shared" si="6"/>
        <v>0.23739495798319327</v>
      </c>
      <c r="X81" s="233">
        <v>47000</v>
      </c>
      <c r="Y81" s="234">
        <f>IF($Q81&lt;='Data Input 1'!$J$18,0,IF($Q81&lt;='Data Input 1'!$L$18,'Data Input 1'!$N$18,IF($Q81&lt;='Data Input 1'!$L$19,'Data Input 1'!$N$19,IF($Q81&lt;='Data Input 1'!$L$20,'Data Input 1'!$N$20,IF($Q81&lt;='Data Input 1'!$L$21,'Data Input 1'!$N$21,MAX('Data Input 1'!$N$18:$N$22))))))</f>
        <v>2</v>
      </c>
      <c r="Z81" s="235">
        <f t="shared" si="10"/>
        <v>121</v>
      </c>
      <c r="AA81" s="234">
        <f>IF($Q81&lt;='Data Input 1'!$J$18,0,IF($Q81&lt;='Data Input 1'!$L$18,'Data Input 1'!$O$18,IF($Q81&lt;='Data Input 1'!$L$19,'Data Input 1'!$O$19,IF($Q81&lt;='Data Input 1'!$L$20,'Data Input 1'!$O$20,IF($Q81&lt;='Data Input 1'!$L$21,'Data Input 1'!$O$21,MAX('Data Input 1'!$O$18:$O$22))))))</f>
        <v>3.25</v>
      </c>
      <c r="AB81" s="235">
        <f t="shared" si="11"/>
        <v>158</v>
      </c>
      <c r="AC81" s="236">
        <f t="shared" si="7"/>
        <v>0.30578512396694213</v>
      </c>
    </row>
    <row r="82" spans="17:29" x14ac:dyDescent="0.2">
      <c r="Q82" s="233">
        <v>48000</v>
      </c>
      <c r="R82" s="234">
        <f>IF($Q82&lt;='Data Input 1'!$J$10,0,IF($Q82&lt;='Data Input 1'!$L$10,'Data Input 1'!$N$10,IF($Q82&lt;='Data Input 1'!$L$11,'Data Input 1'!$N$11,IF($Q82&lt;='Data Input 1'!$L$12,'Data Input 1'!$N$12,IF($Q82&lt;='Data Input 1'!$L$13,'Data Input 1'!$N$13,MAX('Data Input 1'!$N$10:$N$14))))))</f>
        <v>2</v>
      </c>
      <c r="S82" s="235">
        <f t="shared" si="8"/>
        <v>121</v>
      </c>
      <c r="T82" s="234">
        <f>IF($Q82&lt;='Data Input 1'!$J$10,0,IF($Q82&lt;='Data Input 1'!$L$10,'Data Input 1'!$O$10,IF($Q82&lt;='Data Input 1'!$L$11,'Data Input 1'!$O$11,IF($Q82&lt;='Data Input 1'!$L$12,'Data Input 1'!$O$12,IF($Q82&lt;='Data Input 1'!$L$13,'Data Input 1'!$O$13,MAX('Data Input 1'!$O$10:$O$14))))))</f>
        <v>3</v>
      </c>
      <c r="U82" s="235">
        <f t="shared" si="9"/>
        <v>150.25</v>
      </c>
      <c r="V82" s="236">
        <f t="shared" si="6"/>
        <v>0.24173553719008264</v>
      </c>
      <c r="X82" s="233">
        <v>48000</v>
      </c>
      <c r="Y82" s="234">
        <f>IF($Q82&lt;='Data Input 1'!$J$18,0,IF($Q82&lt;='Data Input 1'!$L$18,'Data Input 1'!$N$18,IF($Q82&lt;='Data Input 1'!$L$19,'Data Input 1'!$N$19,IF($Q82&lt;='Data Input 1'!$L$20,'Data Input 1'!$N$20,IF($Q82&lt;='Data Input 1'!$L$21,'Data Input 1'!$N$21,MAX('Data Input 1'!$N$18:$N$22))))))</f>
        <v>2</v>
      </c>
      <c r="Z82" s="235">
        <f t="shared" si="10"/>
        <v>123</v>
      </c>
      <c r="AA82" s="234">
        <f>IF($Q82&lt;='Data Input 1'!$J$18,0,IF($Q82&lt;='Data Input 1'!$L$18,'Data Input 1'!$O$18,IF($Q82&lt;='Data Input 1'!$L$19,'Data Input 1'!$O$19,IF($Q82&lt;='Data Input 1'!$L$20,'Data Input 1'!$O$20,IF($Q82&lt;='Data Input 1'!$L$21,'Data Input 1'!$O$21,MAX('Data Input 1'!$O$18:$O$22))))))</f>
        <v>3.25</v>
      </c>
      <c r="AB82" s="235">
        <f t="shared" si="11"/>
        <v>161.25</v>
      </c>
      <c r="AC82" s="236">
        <f t="shared" si="7"/>
        <v>0.31097560975609756</v>
      </c>
    </row>
    <row r="83" spans="17:29" x14ac:dyDescent="0.2">
      <c r="Q83" s="233">
        <v>49000</v>
      </c>
      <c r="R83" s="234">
        <f>IF($Q83&lt;='Data Input 1'!$J$10,0,IF($Q83&lt;='Data Input 1'!$L$10,'Data Input 1'!$N$10,IF($Q83&lt;='Data Input 1'!$L$11,'Data Input 1'!$N$11,IF($Q83&lt;='Data Input 1'!$L$12,'Data Input 1'!$N$12,IF($Q83&lt;='Data Input 1'!$L$13,'Data Input 1'!$N$13,MAX('Data Input 1'!$N$10:$N$14))))))</f>
        <v>2</v>
      </c>
      <c r="S83" s="235">
        <f t="shared" si="8"/>
        <v>123</v>
      </c>
      <c r="T83" s="234">
        <f>IF($Q83&lt;='Data Input 1'!$J$10,0,IF($Q83&lt;='Data Input 1'!$L$10,'Data Input 1'!$O$10,IF($Q83&lt;='Data Input 1'!$L$11,'Data Input 1'!$O$11,IF($Q83&lt;='Data Input 1'!$L$12,'Data Input 1'!$O$12,IF($Q83&lt;='Data Input 1'!$L$13,'Data Input 1'!$O$13,MAX('Data Input 1'!$O$10:$O$14))))))</f>
        <v>3</v>
      </c>
      <c r="U83" s="235">
        <f t="shared" si="9"/>
        <v>153.25</v>
      </c>
      <c r="V83" s="236">
        <f t="shared" si="6"/>
        <v>0.2459349593495935</v>
      </c>
      <c r="X83" s="233">
        <v>49000</v>
      </c>
      <c r="Y83" s="234">
        <f>IF($Q83&lt;='Data Input 1'!$J$18,0,IF($Q83&lt;='Data Input 1'!$L$18,'Data Input 1'!$N$18,IF($Q83&lt;='Data Input 1'!$L$19,'Data Input 1'!$N$19,IF($Q83&lt;='Data Input 1'!$L$20,'Data Input 1'!$N$20,IF($Q83&lt;='Data Input 1'!$L$21,'Data Input 1'!$N$21,MAX('Data Input 1'!$N$18:$N$22))))))</f>
        <v>2</v>
      </c>
      <c r="Z83" s="235">
        <f t="shared" si="10"/>
        <v>125</v>
      </c>
      <c r="AA83" s="234">
        <f>IF($Q83&lt;='Data Input 1'!$J$18,0,IF($Q83&lt;='Data Input 1'!$L$18,'Data Input 1'!$O$18,IF($Q83&lt;='Data Input 1'!$L$19,'Data Input 1'!$O$19,IF($Q83&lt;='Data Input 1'!$L$20,'Data Input 1'!$O$20,IF($Q83&lt;='Data Input 1'!$L$21,'Data Input 1'!$O$21,MAX('Data Input 1'!$O$18:$O$22))))))</f>
        <v>3.25</v>
      </c>
      <c r="AB83" s="235">
        <f t="shared" si="11"/>
        <v>164.5</v>
      </c>
      <c r="AC83" s="236">
        <f t="shared" si="7"/>
        <v>0.316</v>
      </c>
    </row>
    <row r="84" spans="17:29" x14ac:dyDescent="0.2">
      <c r="Q84" s="233">
        <v>50000</v>
      </c>
      <c r="R84" s="234">
        <f>IF($Q84&lt;='Data Input 1'!$J$10,0,IF($Q84&lt;='Data Input 1'!$L$10,'Data Input 1'!$N$10,IF($Q84&lt;='Data Input 1'!$L$11,'Data Input 1'!$N$11,IF($Q84&lt;='Data Input 1'!$L$12,'Data Input 1'!$N$12,IF($Q84&lt;='Data Input 1'!$L$13,'Data Input 1'!$N$13,MAX('Data Input 1'!$N$10:$N$14))))))</f>
        <v>2</v>
      </c>
      <c r="S84" s="235">
        <f t="shared" si="8"/>
        <v>125</v>
      </c>
      <c r="T84" s="234">
        <f>IF($Q84&lt;='Data Input 1'!$J$10,0,IF($Q84&lt;='Data Input 1'!$L$10,'Data Input 1'!$O$10,IF($Q84&lt;='Data Input 1'!$L$11,'Data Input 1'!$O$11,IF($Q84&lt;='Data Input 1'!$L$12,'Data Input 1'!$O$12,IF($Q84&lt;='Data Input 1'!$L$13,'Data Input 1'!$O$13,MAX('Data Input 1'!$O$10:$O$14))))))</f>
        <v>3</v>
      </c>
      <c r="U84" s="235">
        <f t="shared" si="9"/>
        <v>156.25</v>
      </c>
      <c r="V84" s="236">
        <f t="shared" si="6"/>
        <v>0.25</v>
      </c>
      <c r="X84" s="233">
        <v>50000</v>
      </c>
      <c r="Y84" s="234">
        <f>IF($Q84&lt;='Data Input 1'!$J$18,0,IF($Q84&lt;='Data Input 1'!$L$18,'Data Input 1'!$N$18,IF($Q84&lt;='Data Input 1'!$L$19,'Data Input 1'!$N$19,IF($Q84&lt;='Data Input 1'!$L$20,'Data Input 1'!$N$20,IF($Q84&lt;='Data Input 1'!$L$21,'Data Input 1'!$N$21,MAX('Data Input 1'!$N$18:$N$22))))))</f>
        <v>2</v>
      </c>
      <c r="Z84" s="235">
        <f t="shared" si="10"/>
        <v>127</v>
      </c>
      <c r="AA84" s="234">
        <f>IF($Q84&lt;='Data Input 1'!$J$18,0,IF($Q84&lt;='Data Input 1'!$L$18,'Data Input 1'!$O$18,IF($Q84&lt;='Data Input 1'!$L$19,'Data Input 1'!$O$19,IF($Q84&lt;='Data Input 1'!$L$20,'Data Input 1'!$O$20,IF($Q84&lt;='Data Input 1'!$L$21,'Data Input 1'!$O$21,MAX('Data Input 1'!$O$18:$O$22))))))</f>
        <v>3.25</v>
      </c>
      <c r="AB84" s="235">
        <f t="shared" si="11"/>
        <v>167.75</v>
      </c>
      <c r="AC84" s="236">
        <f t="shared" si="7"/>
        <v>0.32086614173228345</v>
      </c>
    </row>
    <row r="85" spans="17:29" x14ac:dyDescent="0.2">
      <c r="Q85" s="233">
        <v>51000</v>
      </c>
      <c r="R85" s="234">
        <f>IF($Q85&lt;='Data Input 1'!$J$10,0,IF($Q85&lt;='Data Input 1'!$L$10,'Data Input 1'!$N$10,IF($Q85&lt;='Data Input 1'!$L$11,'Data Input 1'!$N$11,IF($Q85&lt;='Data Input 1'!$L$12,'Data Input 1'!$N$12,IF($Q85&lt;='Data Input 1'!$L$13,'Data Input 1'!$N$13,MAX('Data Input 1'!$N$10:$N$14))))))</f>
        <v>2</v>
      </c>
      <c r="S85" s="235">
        <f t="shared" si="8"/>
        <v>127</v>
      </c>
      <c r="T85" s="234">
        <f>IF($Q85&lt;='Data Input 1'!$J$10,0,IF($Q85&lt;='Data Input 1'!$L$10,'Data Input 1'!$O$10,IF($Q85&lt;='Data Input 1'!$L$11,'Data Input 1'!$O$11,IF($Q85&lt;='Data Input 1'!$L$12,'Data Input 1'!$O$12,IF($Q85&lt;='Data Input 1'!$L$13,'Data Input 1'!$O$13,MAX('Data Input 1'!$O$10:$O$14))))))</f>
        <v>5.25</v>
      </c>
      <c r="U85" s="235">
        <f t="shared" si="9"/>
        <v>161.5</v>
      </c>
      <c r="V85" s="236">
        <f t="shared" si="6"/>
        <v>0.27165354330708663</v>
      </c>
      <c r="X85" s="233">
        <v>51000</v>
      </c>
      <c r="Y85" s="234">
        <f>IF($Q85&lt;='Data Input 1'!$J$18,0,IF($Q85&lt;='Data Input 1'!$L$18,'Data Input 1'!$N$18,IF($Q85&lt;='Data Input 1'!$L$19,'Data Input 1'!$N$19,IF($Q85&lt;='Data Input 1'!$L$20,'Data Input 1'!$N$20,IF($Q85&lt;='Data Input 1'!$L$21,'Data Input 1'!$N$21,MAX('Data Input 1'!$N$18:$N$22))))))</f>
        <v>2</v>
      </c>
      <c r="Z85" s="235">
        <f t="shared" si="10"/>
        <v>129</v>
      </c>
      <c r="AA85" s="234">
        <f>IF($Q85&lt;='Data Input 1'!$J$18,0,IF($Q85&lt;='Data Input 1'!$L$18,'Data Input 1'!$O$18,IF($Q85&lt;='Data Input 1'!$L$19,'Data Input 1'!$O$19,IF($Q85&lt;='Data Input 1'!$L$20,'Data Input 1'!$O$20,IF($Q85&lt;='Data Input 1'!$L$21,'Data Input 1'!$O$21,MAX('Data Input 1'!$O$18:$O$22))))))</f>
        <v>6</v>
      </c>
      <c r="AB85" s="235">
        <f t="shared" si="11"/>
        <v>173.75</v>
      </c>
      <c r="AC85" s="236">
        <f t="shared" si="7"/>
        <v>0.34689922480620156</v>
      </c>
    </row>
    <row r="86" spans="17:29" x14ac:dyDescent="0.2">
      <c r="Q86" s="233">
        <v>52000</v>
      </c>
      <c r="R86" s="234">
        <f>IF($Q86&lt;='Data Input 1'!$J$10,0,IF($Q86&lt;='Data Input 1'!$L$10,'Data Input 1'!$N$10,IF($Q86&lt;='Data Input 1'!$L$11,'Data Input 1'!$N$11,IF($Q86&lt;='Data Input 1'!$L$12,'Data Input 1'!$N$12,IF($Q86&lt;='Data Input 1'!$L$13,'Data Input 1'!$N$13,MAX('Data Input 1'!$N$10:$N$14))))))</f>
        <v>2</v>
      </c>
      <c r="S86" s="235">
        <f t="shared" si="8"/>
        <v>129</v>
      </c>
      <c r="T86" s="234">
        <f>IF($Q86&lt;='Data Input 1'!$J$10,0,IF($Q86&lt;='Data Input 1'!$L$10,'Data Input 1'!$O$10,IF($Q86&lt;='Data Input 1'!$L$11,'Data Input 1'!$O$11,IF($Q86&lt;='Data Input 1'!$L$12,'Data Input 1'!$O$12,IF($Q86&lt;='Data Input 1'!$L$13,'Data Input 1'!$O$13,MAX('Data Input 1'!$O$10:$O$14))))))</f>
        <v>5.25</v>
      </c>
      <c r="U86" s="235">
        <f t="shared" si="9"/>
        <v>166.75</v>
      </c>
      <c r="V86" s="236">
        <f t="shared" si="6"/>
        <v>0.2926356589147287</v>
      </c>
      <c r="X86" s="233">
        <v>52000</v>
      </c>
      <c r="Y86" s="234">
        <f>IF($Q86&lt;='Data Input 1'!$J$18,0,IF($Q86&lt;='Data Input 1'!$L$18,'Data Input 1'!$N$18,IF($Q86&lt;='Data Input 1'!$L$19,'Data Input 1'!$N$19,IF($Q86&lt;='Data Input 1'!$L$20,'Data Input 1'!$N$20,IF($Q86&lt;='Data Input 1'!$L$21,'Data Input 1'!$N$21,MAX('Data Input 1'!$N$18:$N$22))))))</f>
        <v>2</v>
      </c>
      <c r="Z86" s="235">
        <f t="shared" si="10"/>
        <v>131</v>
      </c>
      <c r="AA86" s="234">
        <f>IF($Q86&lt;='Data Input 1'!$J$18,0,IF($Q86&lt;='Data Input 1'!$L$18,'Data Input 1'!$O$18,IF($Q86&lt;='Data Input 1'!$L$19,'Data Input 1'!$O$19,IF($Q86&lt;='Data Input 1'!$L$20,'Data Input 1'!$O$20,IF($Q86&lt;='Data Input 1'!$L$21,'Data Input 1'!$O$21,MAX('Data Input 1'!$O$18:$O$22))))))</f>
        <v>6</v>
      </c>
      <c r="AB86" s="235">
        <f t="shared" si="11"/>
        <v>179.75</v>
      </c>
      <c r="AC86" s="236">
        <f t="shared" si="7"/>
        <v>0.37213740458015265</v>
      </c>
    </row>
    <row r="87" spans="17:29" x14ac:dyDescent="0.2">
      <c r="Q87" s="233">
        <v>53000</v>
      </c>
      <c r="R87" s="234">
        <f>IF($Q87&lt;='Data Input 1'!$J$10,0,IF($Q87&lt;='Data Input 1'!$L$10,'Data Input 1'!$N$10,IF($Q87&lt;='Data Input 1'!$L$11,'Data Input 1'!$N$11,IF($Q87&lt;='Data Input 1'!$L$12,'Data Input 1'!$N$12,IF($Q87&lt;='Data Input 1'!$L$13,'Data Input 1'!$N$13,MAX('Data Input 1'!$N$10:$N$14))))))</f>
        <v>2</v>
      </c>
      <c r="S87" s="235">
        <f t="shared" si="8"/>
        <v>131</v>
      </c>
      <c r="T87" s="234">
        <f>IF($Q87&lt;='Data Input 1'!$J$10,0,IF($Q87&lt;='Data Input 1'!$L$10,'Data Input 1'!$O$10,IF($Q87&lt;='Data Input 1'!$L$11,'Data Input 1'!$O$11,IF($Q87&lt;='Data Input 1'!$L$12,'Data Input 1'!$O$12,IF($Q87&lt;='Data Input 1'!$L$13,'Data Input 1'!$O$13,MAX('Data Input 1'!$O$10:$O$14))))))</f>
        <v>5.25</v>
      </c>
      <c r="U87" s="235">
        <f t="shared" si="9"/>
        <v>172</v>
      </c>
      <c r="V87" s="236">
        <f t="shared" si="6"/>
        <v>0.31297709923664124</v>
      </c>
      <c r="X87" s="233">
        <v>53000</v>
      </c>
      <c r="Y87" s="234">
        <f>IF($Q87&lt;='Data Input 1'!$J$18,0,IF($Q87&lt;='Data Input 1'!$L$18,'Data Input 1'!$N$18,IF($Q87&lt;='Data Input 1'!$L$19,'Data Input 1'!$N$19,IF($Q87&lt;='Data Input 1'!$L$20,'Data Input 1'!$N$20,IF($Q87&lt;='Data Input 1'!$L$21,'Data Input 1'!$N$21,MAX('Data Input 1'!$N$18:$N$22))))))</f>
        <v>2</v>
      </c>
      <c r="Z87" s="235">
        <f t="shared" si="10"/>
        <v>133</v>
      </c>
      <c r="AA87" s="234">
        <f>IF($Q87&lt;='Data Input 1'!$J$18,0,IF($Q87&lt;='Data Input 1'!$L$18,'Data Input 1'!$O$18,IF($Q87&lt;='Data Input 1'!$L$19,'Data Input 1'!$O$19,IF($Q87&lt;='Data Input 1'!$L$20,'Data Input 1'!$O$20,IF($Q87&lt;='Data Input 1'!$L$21,'Data Input 1'!$O$21,MAX('Data Input 1'!$O$18:$O$22))))))</f>
        <v>6</v>
      </c>
      <c r="AB87" s="235">
        <f t="shared" si="11"/>
        <v>185.75</v>
      </c>
      <c r="AC87" s="236">
        <f t="shared" si="7"/>
        <v>0.39661654135338348</v>
      </c>
    </row>
    <row r="88" spans="17:29" x14ac:dyDescent="0.2">
      <c r="Q88" s="233">
        <v>54000</v>
      </c>
      <c r="R88" s="234">
        <f>IF($Q88&lt;='Data Input 1'!$J$10,0,IF($Q88&lt;='Data Input 1'!$L$10,'Data Input 1'!$N$10,IF($Q88&lt;='Data Input 1'!$L$11,'Data Input 1'!$N$11,IF($Q88&lt;='Data Input 1'!$L$12,'Data Input 1'!$N$12,IF($Q88&lt;='Data Input 1'!$L$13,'Data Input 1'!$N$13,MAX('Data Input 1'!$N$10:$N$14))))))</f>
        <v>2</v>
      </c>
      <c r="S88" s="235">
        <f t="shared" si="8"/>
        <v>133</v>
      </c>
      <c r="T88" s="234">
        <f>IF($Q88&lt;='Data Input 1'!$J$10,0,IF($Q88&lt;='Data Input 1'!$L$10,'Data Input 1'!$O$10,IF($Q88&lt;='Data Input 1'!$L$11,'Data Input 1'!$O$11,IF($Q88&lt;='Data Input 1'!$L$12,'Data Input 1'!$O$12,IF($Q88&lt;='Data Input 1'!$L$13,'Data Input 1'!$O$13,MAX('Data Input 1'!$O$10:$O$14))))))</f>
        <v>5.25</v>
      </c>
      <c r="U88" s="235">
        <f t="shared" si="9"/>
        <v>177.25</v>
      </c>
      <c r="V88" s="236">
        <f t="shared" si="6"/>
        <v>0.33270676691729323</v>
      </c>
      <c r="X88" s="233">
        <v>54000</v>
      </c>
      <c r="Y88" s="234">
        <f>IF($Q88&lt;='Data Input 1'!$J$18,0,IF($Q88&lt;='Data Input 1'!$L$18,'Data Input 1'!$N$18,IF($Q88&lt;='Data Input 1'!$L$19,'Data Input 1'!$N$19,IF($Q88&lt;='Data Input 1'!$L$20,'Data Input 1'!$N$20,IF($Q88&lt;='Data Input 1'!$L$21,'Data Input 1'!$N$21,MAX('Data Input 1'!$N$18:$N$22))))))</f>
        <v>2</v>
      </c>
      <c r="Z88" s="235">
        <f t="shared" si="10"/>
        <v>135</v>
      </c>
      <c r="AA88" s="234">
        <f>IF($Q88&lt;='Data Input 1'!$J$18,0,IF($Q88&lt;='Data Input 1'!$L$18,'Data Input 1'!$O$18,IF($Q88&lt;='Data Input 1'!$L$19,'Data Input 1'!$O$19,IF($Q88&lt;='Data Input 1'!$L$20,'Data Input 1'!$O$20,IF($Q88&lt;='Data Input 1'!$L$21,'Data Input 1'!$O$21,MAX('Data Input 1'!$O$18:$O$22))))))</f>
        <v>6</v>
      </c>
      <c r="AB88" s="235">
        <f t="shared" si="11"/>
        <v>191.75</v>
      </c>
      <c r="AC88" s="236">
        <f t="shared" si="7"/>
        <v>0.42037037037037039</v>
      </c>
    </row>
    <row r="89" spans="17:29" x14ac:dyDescent="0.2">
      <c r="Q89" s="233">
        <v>55000</v>
      </c>
      <c r="R89" s="234">
        <f>IF($Q89&lt;='Data Input 1'!$J$10,0,IF($Q89&lt;='Data Input 1'!$L$10,'Data Input 1'!$N$10,IF($Q89&lt;='Data Input 1'!$L$11,'Data Input 1'!$N$11,IF($Q89&lt;='Data Input 1'!$L$12,'Data Input 1'!$N$12,IF($Q89&lt;='Data Input 1'!$L$13,'Data Input 1'!$N$13,MAX('Data Input 1'!$N$10:$N$14))))))</f>
        <v>2</v>
      </c>
      <c r="S89" s="235">
        <f t="shared" si="8"/>
        <v>135</v>
      </c>
      <c r="T89" s="234">
        <f>IF($Q89&lt;='Data Input 1'!$J$10,0,IF($Q89&lt;='Data Input 1'!$L$10,'Data Input 1'!$O$10,IF($Q89&lt;='Data Input 1'!$L$11,'Data Input 1'!$O$11,IF($Q89&lt;='Data Input 1'!$L$12,'Data Input 1'!$O$12,IF($Q89&lt;='Data Input 1'!$L$13,'Data Input 1'!$O$13,MAX('Data Input 1'!$O$10:$O$14))))))</f>
        <v>5.25</v>
      </c>
      <c r="U89" s="235">
        <f t="shared" si="9"/>
        <v>182.5</v>
      </c>
      <c r="V89" s="236">
        <f t="shared" si="6"/>
        <v>0.35185185185185186</v>
      </c>
      <c r="X89" s="233">
        <v>55000</v>
      </c>
      <c r="Y89" s="234">
        <f>IF($Q89&lt;='Data Input 1'!$J$18,0,IF($Q89&lt;='Data Input 1'!$L$18,'Data Input 1'!$N$18,IF($Q89&lt;='Data Input 1'!$L$19,'Data Input 1'!$N$19,IF($Q89&lt;='Data Input 1'!$L$20,'Data Input 1'!$N$20,IF($Q89&lt;='Data Input 1'!$L$21,'Data Input 1'!$N$21,MAX('Data Input 1'!$N$18:$N$22))))))</f>
        <v>2</v>
      </c>
      <c r="Z89" s="235">
        <f t="shared" si="10"/>
        <v>137</v>
      </c>
      <c r="AA89" s="234">
        <f>IF($Q89&lt;='Data Input 1'!$J$18,0,IF($Q89&lt;='Data Input 1'!$L$18,'Data Input 1'!$O$18,IF($Q89&lt;='Data Input 1'!$L$19,'Data Input 1'!$O$19,IF($Q89&lt;='Data Input 1'!$L$20,'Data Input 1'!$O$20,IF($Q89&lt;='Data Input 1'!$L$21,'Data Input 1'!$O$21,MAX('Data Input 1'!$O$18:$O$22))))))</f>
        <v>6</v>
      </c>
      <c r="AB89" s="235">
        <f t="shared" si="11"/>
        <v>197.75</v>
      </c>
      <c r="AC89" s="236">
        <f t="shared" si="7"/>
        <v>0.44343065693430656</v>
      </c>
    </row>
    <row r="90" spans="17:29" x14ac:dyDescent="0.2">
      <c r="Q90" s="233">
        <v>56000</v>
      </c>
      <c r="R90" s="234">
        <f>IF($Q90&lt;='Data Input 1'!$J$10,0,IF($Q90&lt;='Data Input 1'!$L$10,'Data Input 1'!$N$10,IF($Q90&lt;='Data Input 1'!$L$11,'Data Input 1'!$N$11,IF($Q90&lt;='Data Input 1'!$L$12,'Data Input 1'!$N$12,IF($Q90&lt;='Data Input 1'!$L$13,'Data Input 1'!$N$13,MAX('Data Input 1'!$N$10:$N$14))))))</f>
        <v>2</v>
      </c>
      <c r="S90" s="235">
        <f t="shared" si="8"/>
        <v>137</v>
      </c>
      <c r="T90" s="234">
        <f>IF($Q90&lt;='Data Input 1'!$J$10,0,IF($Q90&lt;='Data Input 1'!$L$10,'Data Input 1'!$O$10,IF($Q90&lt;='Data Input 1'!$L$11,'Data Input 1'!$O$11,IF($Q90&lt;='Data Input 1'!$L$12,'Data Input 1'!$O$12,IF($Q90&lt;='Data Input 1'!$L$13,'Data Input 1'!$O$13,MAX('Data Input 1'!$O$10:$O$14))))))</f>
        <v>5.25</v>
      </c>
      <c r="U90" s="235">
        <f t="shared" si="9"/>
        <v>187.75</v>
      </c>
      <c r="V90" s="236">
        <f t="shared" si="6"/>
        <v>0.37043795620437958</v>
      </c>
      <c r="X90" s="233">
        <v>56000</v>
      </c>
      <c r="Y90" s="234">
        <f>IF($Q90&lt;='Data Input 1'!$J$18,0,IF($Q90&lt;='Data Input 1'!$L$18,'Data Input 1'!$N$18,IF($Q90&lt;='Data Input 1'!$L$19,'Data Input 1'!$N$19,IF($Q90&lt;='Data Input 1'!$L$20,'Data Input 1'!$N$20,IF($Q90&lt;='Data Input 1'!$L$21,'Data Input 1'!$N$21,MAX('Data Input 1'!$N$18:$N$22))))))</f>
        <v>2</v>
      </c>
      <c r="Z90" s="235">
        <f t="shared" si="10"/>
        <v>139</v>
      </c>
      <c r="AA90" s="234">
        <f>IF($Q90&lt;='Data Input 1'!$J$18,0,IF($Q90&lt;='Data Input 1'!$L$18,'Data Input 1'!$O$18,IF($Q90&lt;='Data Input 1'!$L$19,'Data Input 1'!$O$19,IF($Q90&lt;='Data Input 1'!$L$20,'Data Input 1'!$O$20,IF($Q90&lt;='Data Input 1'!$L$21,'Data Input 1'!$O$21,MAX('Data Input 1'!$O$18:$O$22))))))</f>
        <v>6</v>
      </c>
      <c r="AB90" s="235">
        <f t="shared" si="11"/>
        <v>203.75</v>
      </c>
      <c r="AC90" s="236">
        <f t="shared" si="7"/>
        <v>0.46582733812949639</v>
      </c>
    </row>
    <row r="91" spans="17:29" x14ac:dyDescent="0.2">
      <c r="Q91" s="233">
        <v>57000</v>
      </c>
      <c r="R91" s="234">
        <f>IF($Q91&lt;='Data Input 1'!$J$10,0,IF($Q91&lt;='Data Input 1'!$L$10,'Data Input 1'!$N$10,IF($Q91&lt;='Data Input 1'!$L$11,'Data Input 1'!$N$11,IF($Q91&lt;='Data Input 1'!$L$12,'Data Input 1'!$N$12,IF($Q91&lt;='Data Input 1'!$L$13,'Data Input 1'!$N$13,MAX('Data Input 1'!$N$10:$N$14))))))</f>
        <v>2</v>
      </c>
      <c r="S91" s="235">
        <f t="shared" si="8"/>
        <v>139</v>
      </c>
      <c r="T91" s="234">
        <f>IF($Q91&lt;='Data Input 1'!$J$10,0,IF($Q91&lt;='Data Input 1'!$L$10,'Data Input 1'!$O$10,IF($Q91&lt;='Data Input 1'!$L$11,'Data Input 1'!$O$11,IF($Q91&lt;='Data Input 1'!$L$12,'Data Input 1'!$O$12,IF($Q91&lt;='Data Input 1'!$L$13,'Data Input 1'!$O$13,MAX('Data Input 1'!$O$10:$O$14))))))</f>
        <v>5.25</v>
      </c>
      <c r="U91" s="235">
        <f t="shared" si="9"/>
        <v>193</v>
      </c>
      <c r="V91" s="236">
        <f t="shared" si="6"/>
        <v>0.38848920863309355</v>
      </c>
      <c r="X91" s="233">
        <v>57000</v>
      </c>
      <c r="Y91" s="234">
        <f>IF($Q91&lt;='Data Input 1'!$J$18,0,IF($Q91&lt;='Data Input 1'!$L$18,'Data Input 1'!$N$18,IF($Q91&lt;='Data Input 1'!$L$19,'Data Input 1'!$N$19,IF($Q91&lt;='Data Input 1'!$L$20,'Data Input 1'!$N$20,IF($Q91&lt;='Data Input 1'!$L$21,'Data Input 1'!$N$21,MAX('Data Input 1'!$N$18:$N$22))))))</f>
        <v>2</v>
      </c>
      <c r="Z91" s="235">
        <f t="shared" si="10"/>
        <v>141</v>
      </c>
      <c r="AA91" s="234">
        <f>IF($Q91&lt;='Data Input 1'!$J$18,0,IF($Q91&lt;='Data Input 1'!$L$18,'Data Input 1'!$O$18,IF($Q91&lt;='Data Input 1'!$L$19,'Data Input 1'!$O$19,IF($Q91&lt;='Data Input 1'!$L$20,'Data Input 1'!$O$20,IF($Q91&lt;='Data Input 1'!$L$21,'Data Input 1'!$O$21,MAX('Data Input 1'!$O$18:$O$22))))))</f>
        <v>6</v>
      </c>
      <c r="AB91" s="235">
        <f t="shared" si="11"/>
        <v>209.75</v>
      </c>
      <c r="AC91" s="236">
        <f t="shared" si="7"/>
        <v>0.48758865248226951</v>
      </c>
    </row>
    <row r="92" spans="17:29" x14ac:dyDescent="0.2">
      <c r="Q92" s="233">
        <v>58000</v>
      </c>
      <c r="R92" s="234">
        <f>IF($Q92&lt;='Data Input 1'!$J$10,0,IF($Q92&lt;='Data Input 1'!$L$10,'Data Input 1'!$N$10,IF($Q92&lt;='Data Input 1'!$L$11,'Data Input 1'!$N$11,IF($Q92&lt;='Data Input 1'!$L$12,'Data Input 1'!$N$12,IF($Q92&lt;='Data Input 1'!$L$13,'Data Input 1'!$N$13,MAX('Data Input 1'!$N$10:$N$14))))))</f>
        <v>2</v>
      </c>
      <c r="S92" s="235">
        <f t="shared" si="8"/>
        <v>141</v>
      </c>
      <c r="T92" s="234">
        <f>IF($Q92&lt;='Data Input 1'!$J$10,0,IF($Q92&lt;='Data Input 1'!$L$10,'Data Input 1'!$O$10,IF($Q92&lt;='Data Input 1'!$L$11,'Data Input 1'!$O$11,IF($Q92&lt;='Data Input 1'!$L$12,'Data Input 1'!$O$12,IF($Q92&lt;='Data Input 1'!$L$13,'Data Input 1'!$O$13,MAX('Data Input 1'!$O$10:$O$14))))))</f>
        <v>5.25</v>
      </c>
      <c r="U92" s="235">
        <f t="shared" si="9"/>
        <v>198.25</v>
      </c>
      <c r="V92" s="236">
        <f t="shared" si="6"/>
        <v>0.40602836879432624</v>
      </c>
      <c r="X92" s="233">
        <v>58000</v>
      </c>
      <c r="Y92" s="234">
        <f>IF($Q92&lt;='Data Input 1'!$J$18,0,IF($Q92&lt;='Data Input 1'!$L$18,'Data Input 1'!$N$18,IF($Q92&lt;='Data Input 1'!$L$19,'Data Input 1'!$N$19,IF($Q92&lt;='Data Input 1'!$L$20,'Data Input 1'!$N$20,IF($Q92&lt;='Data Input 1'!$L$21,'Data Input 1'!$N$21,MAX('Data Input 1'!$N$18:$N$22))))))</f>
        <v>2</v>
      </c>
      <c r="Z92" s="235">
        <f t="shared" si="10"/>
        <v>143</v>
      </c>
      <c r="AA92" s="234">
        <f>IF($Q92&lt;='Data Input 1'!$J$18,0,IF($Q92&lt;='Data Input 1'!$L$18,'Data Input 1'!$O$18,IF($Q92&lt;='Data Input 1'!$L$19,'Data Input 1'!$O$19,IF($Q92&lt;='Data Input 1'!$L$20,'Data Input 1'!$O$20,IF($Q92&lt;='Data Input 1'!$L$21,'Data Input 1'!$O$21,MAX('Data Input 1'!$O$18:$O$22))))))</f>
        <v>6</v>
      </c>
      <c r="AB92" s="235">
        <f t="shared" si="11"/>
        <v>215.75</v>
      </c>
      <c r="AC92" s="236">
        <f t="shared" si="7"/>
        <v>0.50874125874125875</v>
      </c>
    </row>
    <row r="93" spans="17:29" x14ac:dyDescent="0.2">
      <c r="Q93" s="233">
        <v>59000</v>
      </c>
      <c r="R93" s="234">
        <f>IF($Q93&lt;='Data Input 1'!$J$10,0,IF($Q93&lt;='Data Input 1'!$L$10,'Data Input 1'!$N$10,IF($Q93&lt;='Data Input 1'!$L$11,'Data Input 1'!$N$11,IF($Q93&lt;='Data Input 1'!$L$12,'Data Input 1'!$N$12,IF($Q93&lt;='Data Input 1'!$L$13,'Data Input 1'!$N$13,MAX('Data Input 1'!$N$10:$N$14))))))</f>
        <v>2</v>
      </c>
      <c r="S93" s="235">
        <f t="shared" si="8"/>
        <v>143</v>
      </c>
      <c r="T93" s="234">
        <f>IF($Q93&lt;='Data Input 1'!$J$10,0,IF($Q93&lt;='Data Input 1'!$L$10,'Data Input 1'!$O$10,IF($Q93&lt;='Data Input 1'!$L$11,'Data Input 1'!$O$11,IF($Q93&lt;='Data Input 1'!$L$12,'Data Input 1'!$O$12,IF($Q93&lt;='Data Input 1'!$L$13,'Data Input 1'!$O$13,MAX('Data Input 1'!$O$10:$O$14))))))</f>
        <v>5.25</v>
      </c>
      <c r="U93" s="235">
        <f t="shared" si="9"/>
        <v>203.5</v>
      </c>
      <c r="V93" s="236">
        <f t="shared" si="6"/>
        <v>0.42307692307692307</v>
      </c>
      <c r="X93" s="233">
        <v>59000</v>
      </c>
      <c r="Y93" s="234">
        <f>IF($Q93&lt;='Data Input 1'!$J$18,0,IF($Q93&lt;='Data Input 1'!$L$18,'Data Input 1'!$N$18,IF($Q93&lt;='Data Input 1'!$L$19,'Data Input 1'!$N$19,IF($Q93&lt;='Data Input 1'!$L$20,'Data Input 1'!$N$20,IF($Q93&lt;='Data Input 1'!$L$21,'Data Input 1'!$N$21,MAX('Data Input 1'!$N$18:$N$22))))))</f>
        <v>2</v>
      </c>
      <c r="Z93" s="235">
        <f t="shared" si="10"/>
        <v>145</v>
      </c>
      <c r="AA93" s="234">
        <f>IF($Q93&lt;='Data Input 1'!$J$18,0,IF($Q93&lt;='Data Input 1'!$L$18,'Data Input 1'!$O$18,IF($Q93&lt;='Data Input 1'!$L$19,'Data Input 1'!$O$19,IF($Q93&lt;='Data Input 1'!$L$20,'Data Input 1'!$O$20,IF($Q93&lt;='Data Input 1'!$L$21,'Data Input 1'!$O$21,MAX('Data Input 1'!$O$18:$O$22))))))</f>
        <v>6</v>
      </c>
      <c r="AB93" s="235">
        <f t="shared" si="11"/>
        <v>221.75</v>
      </c>
      <c r="AC93" s="236">
        <f t="shared" si="7"/>
        <v>0.52931034482758621</v>
      </c>
    </row>
    <row r="94" spans="17:29" x14ac:dyDescent="0.2">
      <c r="Q94" s="233">
        <v>60000</v>
      </c>
      <c r="R94" s="234">
        <f>IF($Q94&lt;='Data Input 1'!$J$10,0,IF($Q94&lt;='Data Input 1'!$L$10,'Data Input 1'!$N$10,IF($Q94&lt;='Data Input 1'!$L$11,'Data Input 1'!$N$11,IF($Q94&lt;='Data Input 1'!$L$12,'Data Input 1'!$N$12,IF($Q94&lt;='Data Input 1'!$L$13,'Data Input 1'!$N$13,MAX('Data Input 1'!$N$10:$N$14))))))</f>
        <v>2</v>
      </c>
      <c r="S94" s="235">
        <f t="shared" si="8"/>
        <v>145</v>
      </c>
      <c r="T94" s="234">
        <f>IF($Q94&lt;='Data Input 1'!$J$10,0,IF($Q94&lt;='Data Input 1'!$L$10,'Data Input 1'!$O$10,IF($Q94&lt;='Data Input 1'!$L$11,'Data Input 1'!$O$11,IF($Q94&lt;='Data Input 1'!$L$12,'Data Input 1'!$O$12,IF($Q94&lt;='Data Input 1'!$L$13,'Data Input 1'!$O$13,MAX('Data Input 1'!$O$10:$O$14))))))</f>
        <v>5.25</v>
      </c>
      <c r="U94" s="235">
        <f t="shared" si="9"/>
        <v>208.75</v>
      </c>
      <c r="V94" s="236">
        <f t="shared" si="6"/>
        <v>0.43965517241379309</v>
      </c>
      <c r="X94" s="233">
        <v>60000</v>
      </c>
      <c r="Y94" s="234">
        <f>IF($Q94&lt;='Data Input 1'!$J$18,0,IF($Q94&lt;='Data Input 1'!$L$18,'Data Input 1'!$N$18,IF($Q94&lt;='Data Input 1'!$L$19,'Data Input 1'!$N$19,IF($Q94&lt;='Data Input 1'!$L$20,'Data Input 1'!$N$20,IF($Q94&lt;='Data Input 1'!$L$21,'Data Input 1'!$N$21,MAX('Data Input 1'!$N$18:$N$22))))))</f>
        <v>2</v>
      </c>
      <c r="Z94" s="235">
        <f t="shared" si="10"/>
        <v>147</v>
      </c>
      <c r="AA94" s="234">
        <f>IF($Q94&lt;='Data Input 1'!$J$18,0,IF($Q94&lt;='Data Input 1'!$L$18,'Data Input 1'!$O$18,IF($Q94&lt;='Data Input 1'!$L$19,'Data Input 1'!$O$19,IF($Q94&lt;='Data Input 1'!$L$20,'Data Input 1'!$O$20,IF($Q94&lt;='Data Input 1'!$L$21,'Data Input 1'!$O$21,MAX('Data Input 1'!$O$18:$O$22))))))</f>
        <v>6</v>
      </c>
      <c r="AB94" s="235">
        <f t="shared" si="11"/>
        <v>227.75</v>
      </c>
      <c r="AC94" s="236">
        <f t="shared" si="7"/>
        <v>0.54931972789115646</v>
      </c>
    </row>
    <row r="95" spans="17:29" x14ac:dyDescent="0.2">
      <c r="Q95" s="233">
        <v>61000</v>
      </c>
      <c r="R95" s="234">
        <f>IF($Q95&lt;='Data Input 1'!$J$10,0,IF($Q95&lt;='Data Input 1'!$L$10,'Data Input 1'!$N$10,IF($Q95&lt;='Data Input 1'!$L$11,'Data Input 1'!$N$11,IF($Q95&lt;='Data Input 1'!$L$12,'Data Input 1'!$N$12,IF($Q95&lt;='Data Input 1'!$L$13,'Data Input 1'!$N$13,MAX('Data Input 1'!$N$10:$N$14))))))</f>
        <v>2</v>
      </c>
      <c r="S95" s="235">
        <f t="shared" si="8"/>
        <v>147</v>
      </c>
      <c r="T95" s="234">
        <f>IF($Q95&lt;='Data Input 1'!$J$10,0,IF($Q95&lt;='Data Input 1'!$L$10,'Data Input 1'!$O$10,IF($Q95&lt;='Data Input 1'!$L$11,'Data Input 1'!$O$11,IF($Q95&lt;='Data Input 1'!$L$12,'Data Input 1'!$O$12,IF($Q95&lt;='Data Input 1'!$L$13,'Data Input 1'!$O$13,MAX('Data Input 1'!$O$10:$O$14))))))</f>
        <v>5.25</v>
      </c>
      <c r="U95" s="235">
        <f t="shared" si="9"/>
        <v>214</v>
      </c>
      <c r="V95" s="236">
        <f t="shared" si="6"/>
        <v>0.45578231292517007</v>
      </c>
      <c r="X95" s="233">
        <v>61000</v>
      </c>
      <c r="Y95" s="234">
        <f>IF($Q95&lt;='Data Input 1'!$J$18,0,IF($Q95&lt;='Data Input 1'!$L$18,'Data Input 1'!$N$18,IF($Q95&lt;='Data Input 1'!$L$19,'Data Input 1'!$N$19,IF($Q95&lt;='Data Input 1'!$L$20,'Data Input 1'!$N$20,IF($Q95&lt;='Data Input 1'!$L$21,'Data Input 1'!$N$21,MAX('Data Input 1'!$N$18:$N$22))))))</f>
        <v>2</v>
      </c>
      <c r="Z95" s="235">
        <f t="shared" si="10"/>
        <v>149</v>
      </c>
      <c r="AA95" s="234">
        <f>IF($Q95&lt;='Data Input 1'!$J$18,0,IF($Q95&lt;='Data Input 1'!$L$18,'Data Input 1'!$O$18,IF($Q95&lt;='Data Input 1'!$L$19,'Data Input 1'!$O$19,IF($Q95&lt;='Data Input 1'!$L$20,'Data Input 1'!$O$20,IF($Q95&lt;='Data Input 1'!$L$21,'Data Input 1'!$O$21,MAX('Data Input 1'!$O$18:$O$22))))))</f>
        <v>6</v>
      </c>
      <c r="AB95" s="235">
        <f t="shared" si="11"/>
        <v>233.75</v>
      </c>
      <c r="AC95" s="236">
        <f t="shared" si="7"/>
        <v>0.56879194630872487</v>
      </c>
    </row>
    <row r="96" spans="17:29" x14ac:dyDescent="0.2">
      <c r="Q96" s="233">
        <v>62000</v>
      </c>
      <c r="R96" s="234">
        <f>IF($Q96&lt;='Data Input 1'!$J$10,0,IF($Q96&lt;='Data Input 1'!$L$10,'Data Input 1'!$N$10,IF($Q96&lt;='Data Input 1'!$L$11,'Data Input 1'!$N$11,IF($Q96&lt;='Data Input 1'!$L$12,'Data Input 1'!$N$12,IF($Q96&lt;='Data Input 1'!$L$13,'Data Input 1'!$N$13,MAX('Data Input 1'!$N$10:$N$14))))))</f>
        <v>2</v>
      </c>
      <c r="S96" s="235">
        <f t="shared" si="8"/>
        <v>149</v>
      </c>
      <c r="T96" s="234">
        <f>IF($Q96&lt;='Data Input 1'!$J$10,0,IF($Q96&lt;='Data Input 1'!$L$10,'Data Input 1'!$O$10,IF($Q96&lt;='Data Input 1'!$L$11,'Data Input 1'!$O$11,IF($Q96&lt;='Data Input 1'!$L$12,'Data Input 1'!$O$12,IF($Q96&lt;='Data Input 1'!$L$13,'Data Input 1'!$O$13,MAX('Data Input 1'!$O$10:$O$14))))))</f>
        <v>5.25</v>
      </c>
      <c r="U96" s="235">
        <f t="shared" si="9"/>
        <v>219.25</v>
      </c>
      <c r="V96" s="236">
        <f t="shared" si="6"/>
        <v>0.47147651006711411</v>
      </c>
      <c r="X96" s="233">
        <v>62000</v>
      </c>
      <c r="Y96" s="234">
        <f>IF($Q96&lt;='Data Input 1'!$J$18,0,IF($Q96&lt;='Data Input 1'!$L$18,'Data Input 1'!$N$18,IF($Q96&lt;='Data Input 1'!$L$19,'Data Input 1'!$N$19,IF($Q96&lt;='Data Input 1'!$L$20,'Data Input 1'!$N$20,IF($Q96&lt;='Data Input 1'!$L$21,'Data Input 1'!$N$21,MAX('Data Input 1'!$N$18:$N$22))))))</f>
        <v>2</v>
      </c>
      <c r="Z96" s="235">
        <f t="shared" si="10"/>
        <v>151</v>
      </c>
      <c r="AA96" s="234">
        <f>IF($Q96&lt;='Data Input 1'!$J$18,0,IF($Q96&lt;='Data Input 1'!$L$18,'Data Input 1'!$O$18,IF($Q96&lt;='Data Input 1'!$L$19,'Data Input 1'!$O$19,IF($Q96&lt;='Data Input 1'!$L$20,'Data Input 1'!$O$20,IF($Q96&lt;='Data Input 1'!$L$21,'Data Input 1'!$O$21,MAX('Data Input 1'!$O$18:$O$22))))))</f>
        <v>6</v>
      </c>
      <c r="AB96" s="235">
        <f t="shared" si="11"/>
        <v>239.75</v>
      </c>
      <c r="AC96" s="236">
        <f t="shared" si="7"/>
        <v>0.58774834437086088</v>
      </c>
    </row>
    <row r="97" spans="17:29" x14ac:dyDescent="0.2">
      <c r="Q97" s="233">
        <v>63000</v>
      </c>
      <c r="R97" s="234">
        <f>IF($Q97&lt;='Data Input 1'!$J$10,0,IF($Q97&lt;='Data Input 1'!$L$10,'Data Input 1'!$N$10,IF($Q97&lt;='Data Input 1'!$L$11,'Data Input 1'!$N$11,IF($Q97&lt;='Data Input 1'!$L$12,'Data Input 1'!$N$12,IF($Q97&lt;='Data Input 1'!$L$13,'Data Input 1'!$N$13,MAX('Data Input 1'!$N$10:$N$14))))))</f>
        <v>2</v>
      </c>
      <c r="S97" s="235">
        <f t="shared" si="8"/>
        <v>151</v>
      </c>
      <c r="T97" s="234">
        <f>IF($Q97&lt;='Data Input 1'!$J$10,0,IF($Q97&lt;='Data Input 1'!$L$10,'Data Input 1'!$O$10,IF($Q97&lt;='Data Input 1'!$L$11,'Data Input 1'!$O$11,IF($Q97&lt;='Data Input 1'!$L$12,'Data Input 1'!$O$12,IF($Q97&lt;='Data Input 1'!$L$13,'Data Input 1'!$O$13,MAX('Data Input 1'!$O$10:$O$14))))))</f>
        <v>5.25</v>
      </c>
      <c r="U97" s="235">
        <f t="shared" si="9"/>
        <v>224.5</v>
      </c>
      <c r="V97" s="236">
        <f t="shared" si="6"/>
        <v>0.48675496688741721</v>
      </c>
      <c r="X97" s="233">
        <v>63000</v>
      </c>
      <c r="Y97" s="234">
        <f>IF($Q97&lt;='Data Input 1'!$J$18,0,IF($Q97&lt;='Data Input 1'!$L$18,'Data Input 1'!$N$18,IF($Q97&lt;='Data Input 1'!$L$19,'Data Input 1'!$N$19,IF($Q97&lt;='Data Input 1'!$L$20,'Data Input 1'!$N$20,IF($Q97&lt;='Data Input 1'!$L$21,'Data Input 1'!$N$21,MAX('Data Input 1'!$N$18:$N$22))))))</f>
        <v>2</v>
      </c>
      <c r="Z97" s="235">
        <f t="shared" si="10"/>
        <v>153</v>
      </c>
      <c r="AA97" s="234">
        <f>IF($Q97&lt;='Data Input 1'!$J$18,0,IF($Q97&lt;='Data Input 1'!$L$18,'Data Input 1'!$O$18,IF($Q97&lt;='Data Input 1'!$L$19,'Data Input 1'!$O$19,IF($Q97&lt;='Data Input 1'!$L$20,'Data Input 1'!$O$20,IF($Q97&lt;='Data Input 1'!$L$21,'Data Input 1'!$O$21,MAX('Data Input 1'!$O$18:$O$22))))))</f>
        <v>6</v>
      </c>
      <c r="AB97" s="235">
        <f t="shared" si="11"/>
        <v>245.75</v>
      </c>
      <c r="AC97" s="236">
        <f t="shared" si="7"/>
        <v>0.60620915032679734</v>
      </c>
    </row>
    <row r="98" spans="17:29" x14ac:dyDescent="0.2">
      <c r="Q98" s="233">
        <v>64000</v>
      </c>
      <c r="R98" s="234">
        <f>IF($Q98&lt;='Data Input 1'!$J$10,0,IF($Q98&lt;='Data Input 1'!$L$10,'Data Input 1'!$N$10,IF($Q98&lt;='Data Input 1'!$L$11,'Data Input 1'!$N$11,IF($Q98&lt;='Data Input 1'!$L$12,'Data Input 1'!$N$12,IF($Q98&lt;='Data Input 1'!$L$13,'Data Input 1'!$N$13,MAX('Data Input 1'!$N$10:$N$14))))))</f>
        <v>2</v>
      </c>
      <c r="S98" s="235">
        <f t="shared" si="8"/>
        <v>153</v>
      </c>
      <c r="T98" s="234">
        <f>IF($Q98&lt;='Data Input 1'!$J$10,0,IF($Q98&lt;='Data Input 1'!$L$10,'Data Input 1'!$O$10,IF($Q98&lt;='Data Input 1'!$L$11,'Data Input 1'!$O$11,IF($Q98&lt;='Data Input 1'!$L$12,'Data Input 1'!$O$12,IF($Q98&lt;='Data Input 1'!$L$13,'Data Input 1'!$O$13,MAX('Data Input 1'!$O$10:$O$14))))))</f>
        <v>5.25</v>
      </c>
      <c r="U98" s="235">
        <f t="shared" si="9"/>
        <v>229.75</v>
      </c>
      <c r="V98" s="236">
        <f t="shared" si="6"/>
        <v>0.50163398692810457</v>
      </c>
      <c r="X98" s="233">
        <v>64000</v>
      </c>
      <c r="Y98" s="234">
        <f>IF($Q98&lt;='Data Input 1'!$J$18,0,IF($Q98&lt;='Data Input 1'!$L$18,'Data Input 1'!$N$18,IF($Q98&lt;='Data Input 1'!$L$19,'Data Input 1'!$N$19,IF($Q98&lt;='Data Input 1'!$L$20,'Data Input 1'!$N$20,IF($Q98&lt;='Data Input 1'!$L$21,'Data Input 1'!$N$21,MAX('Data Input 1'!$N$18:$N$22))))))</f>
        <v>2</v>
      </c>
      <c r="Z98" s="235">
        <f t="shared" si="10"/>
        <v>155</v>
      </c>
      <c r="AA98" s="234">
        <f>IF($Q98&lt;='Data Input 1'!$J$18,0,IF($Q98&lt;='Data Input 1'!$L$18,'Data Input 1'!$O$18,IF($Q98&lt;='Data Input 1'!$L$19,'Data Input 1'!$O$19,IF($Q98&lt;='Data Input 1'!$L$20,'Data Input 1'!$O$20,IF($Q98&lt;='Data Input 1'!$L$21,'Data Input 1'!$O$21,MAX('Data Input 1'!$O$18:$O$22))))))</f>
        <v>6</v>
      </c>
      <c r="AB98" s="235">
        <f t="shared" si="11"/>
        <v>251.75</v>
      </c>
      <c r="AC98" s="236">
        <f t="shared" si="7"/>
        <v>0.62419354838709673</v>
      </c>
    </row>
    <row r="99" spans="17:29" x14ac:dyDescent="0.2">
      <c r="Q99" s="233">
        <v>65000</v>
      </c>
      <c r="R99" s="234">
        <f>IF($Q99&lt;='Data Input 1'!$J$10,0,IF($Q99&lt;='Data Input 1'!$L$10,'Data Input 1'!$N$10,IF($Q99&lt;='Data Input 1'!$L$11,'Data Input 1'!$N$11,IF($Q99&lt;='Data Input 1'!$L$12,'Data Input 1'!$N$12,IF($Q99&lt;='Data Input 1'!$L$13,'Data Input 1'!$N$13,MAX('Data Input 1'!$N$10:$N$14))))))</f>
        <v>2</v>
      </c>
      <c r="S99" s="235">
        <f t="shared" si="8"/>
        <v>155</v>
      </c>
      <c r="T99" s="234">
        <f>IF($Q99&lt;='Data Input 1'!$J$10,0,IF($Q99&lt;='Data Input 1'!$L$10,'Data Input 1'!$O$10,IF($Q99&lt;='Data Input 1'!$L$11,'Data Input 1'!$O$11,IF($Q99&lt;='Data Input 1'!$L$12,'Data Input 1'!$O$12,IF($Q99&lt;='Data Input 1'!$L$13,'Data Input 1'!$O$13,MAX('Data Input 1'!$O$10:$O$14))))))</f>
        <v>5.25</v>
      </c>
      <c r="U99" s="235">
        <f t="shared" si="9"/>
        <v>235</v>
      </c>
      <c r="V99" s="236">
        <f t="shared" ref="V99:V134" si="12">(U99-S99)/S99</f>
        <v>0.5161290322580645</v>
      </c>
      <c r="X99" s="233">
        <v>65000</v>
      </c>
      <c r="Y99" s="234">
        <f>IF($Q99&lt;='Data Input 1'!$J$18,0,IF($Q99&lt;='Data Input 1'!$L$18,'Data Input 1'!$N$18,IF($Q99&lt;='Data Input 1'!$L$19,'Data Input 1'!$N$19,IF($Q99&lt;='Data Input 1'!$L$20,'Data Input 1'!$N$20,IF($Q99&lt;='Data Input 1'!$L$21,'Data Input 1'!$N$21,MAX('Data Input 1'!$N$18:$N$22))))))</f>
        <v>2</v>
      </c>
      <c r="Z99" s="235">
        <f t="shared" si="10"/>
        <v>157</v>
      </c>
      <c r="AA99" s="234">
        <f>IF($Q99&lt;='Data Input 1'!$J$18,0,IF($Q99&lt;='Data Input 1'!$L$18,'Data Input 1'!$O$18,IF($Q99&lt;='Data Input 1'!$L$19,'Data Input 1'!$O$19,IF($Q99&lt;='Data Input 1'!$L$20,'Data Input 1'!$O$20,IF($Q99&lt;='Data Input 1'!$L$21,'Data Input 1'!$O$21,MAX('Data Input 1'!$O$18:$O$22))))))</f>
        <v>6</v>
      </c>
      <c r="AB99" s="235">
        <f t="shared" si="11"/>
        <v>257.75</v>
      </c>
      <c r="AC99" s="236">
        <f t="shared" ref="AC99:AC134" si="13">(AB99-Z99)/Z99</f>
        <v>0.64171974522292996</v>
      </c>
    </row>
    <row r="100" spans="17:29" x14ac:dyDescent="0.2">
      <c r="Q100" s="233">
        <v>66000</v>
      </c>
      <c r="R100" s="234">
        <f>IF($Q100&lt;='Data Input 1'!$J$10,0,IF($Q100&lt;='Data Input 1'!$L$10,'Data Input 1'!$N$10,IF($Q100&lt;='Data Input 1'!$L$11,'Data Input 1'!$N$11,IF($Q100&lt;='Data Input 1'!$L$12,'Data Input 1'!$N$12,IF($Q100&lt;='Data Input 1'!$L$13,'Data Input 1'!$N$13,MAX('Data Input 1'!$N$10:$N$14))))))</f>
        <v>2</v>
      </c>
      <c r="S100" s="235">
        <f t="shared" ref="S100:S134" si="14">S99+R100</f>
        <v>157</v>
      </c>
      <c r="T100" s="234">
        <f>IF($Q100&lt;='Data Input 1'!$J$10,0,IF($Q100&lt;='Data Input 1'!$L$10,'Data Input 1'!$O$10,IF($Q100&lt;='Data Input 1'!$L$11,'Data Input 1'!$O$11,IF($Q100&lt;='Data Input 1'!$L$12,'Data Input 1'!$O$12,IF($Q100&lt;='Data Input 1'!$L$13,'Data Input 1'!$O$13,MAX('Data Input 1'!$O$10:$O$14))))))</f>
        <v>5.25</v>
      </c>
      <c r="U100" s="235">
        <f t="shared" ref="U100:U134" si="15">U99+T100</f>
        <v>240.25</v>
      </c>
      <c r="V100" s="236">
        <f t="shared" si="12"/>
        <v>0.53025477707006374</v>
      </c>
      <c r="X100" s="233">
        <v>66000</v>
      </c>
      <c r="Y100" s="234">
        <f>IF($Q100&lt;='Data Input 1'!$J$18,0,IF($Q100&lt;='Data Input 1'!$L$18,'Data Input 1'!$N$18,IF($Q100&lt;='Data Input 1'!$L$19,'Data Input 1'!$N$19,IF($Q100&lt;='Data Input 1'!$L$20,'Data Input 1'!$N$20,IF($Q100&lt;='Data Input 1'!$L$21,'Data Input 1'!$N$21,MAX('Data Input 1'!$N$18:$N$22))))))</f>
        <v>2</v>
      </c>
      <c r="Z100" s="235">
        <f t="shared" ref="Z100:Z134" si="16">Z99+Y100</f>
        <v>159</v>
      </c>
      <c r="AA100" s="234">
        <f>IF($Q100&lt;='Data Input 1'!$J$18,0,IF($Q100&lt;='Data Input 1'!$L$18,'Data Input 1'!$O$18,IF($Q100&lt;='Data Input 1'!$L$19,'Data Input 1'!$O$19,IF($Q100&lt;='Data Input 1'!$L$20,'Data Input 1'!$O$20,IF($Q100&lt;='Data Input 1'!$L$21,'Data Input 1'!$O$21,MAX('Data Input 1'!$O$18:$O$22))))))</f>
        <v>6</v>
      </c>
      <c r="AB100" s="235">
        <f t="shared" ref="AB100:AB134" si="17">AB99+AA100</f>
        <v>263.75</v>
      </c>
      <c r="AC100" s="236">
        <f t="shared" si="13"/>
        <v>0.6588050314465409</v>
      </c>
    </row>
    <row r="101" spans="17:29" x14ac:dyDescent="0.2">
      <c r="Q101" s="233">
        <v>67000</v>
      </c>
      <c r="R101" s="234">
        <f>IF($Q101&lt;='Data Input 1'!$J$10,0,IF($Q101&lt;='Data Input 1'!$L$10,'Data Input 1'!$N$10,IF($Q101&lt;='Data Input 1'!$L$11,'Data Input 1'!$N$11,IF($Q101&lt;='Data Input 1'!$L$12,'Data Input 1'!$N$12,IF($Q101&lt;='Data Input 1'!$L$13,'Data Input 1'!$N$13,MAX('Data Input 1'!$N$10:$N$14))))))</f>
        <v>2</v>
      </c>
      <c r="S101" s="235">
        <f t="shared" si="14"/>
        <v>159</v>
      </c>
      <c r="T101" s="234">
        <f>IF($Q101&lt;='Data Input 1'!$J$10,0,IF($Q101&lt;='Data Input 1'!$L$10,'Data Input 1'!$O$10,IF($Q101&lt;='Data Input 1'!$L$11,'Data Input 1'!$O$11,IF($Q101&lt;='Data Input 1'!$L$12,'Data Input 1'!$O$12,IF($Q101&lt;='Data Input 1'!$L$13,'Data Input 1'!$O$13,MAX('Data Input 1'!$O$10:$O$14))))))</f>
        <v>5.25</v>
      </c>
      <c r="U101" s="235">
        <f t="shared" si="15"/>
        <v>245.5</v>
      </c>
      <c r="V101" s="236">
        <f t="shared" si="12"/>
        <v>0.54402515723270439</v>
      </c>
      <c r="X101" s="233">
        <v>67000</v>
      </c>
      <c r="Y101" s="234">
        <f>IF($Q101&lt;='Data Input 1'!$J$18,0,IF($Q101&lt;='Data Input 1'!$L$18,'Data Input 1'!$N$18,IF($Q101&lt;='Data Input 1'!$L$19,'Data Input 1'!$N$19,IF($Q101&lt;='Data Input 1'!$L$20,'Data Input 1'!$N$20,IF($Q101&lt;='Data Input 1'!$L$21,'Data Input 1'!$N$21,MAX('Data Input 1'!$N$18:$N$22))))))</f>
        <v>2</v>
      </c>
      <c r="Z101" s="235">
        <f t="shared" si="16"/>
        <v>161</v>
      </c>
      <c r="AA101" s="234">
        <f>IF($Q101&lt;='Data Input 1'!$J$18,0,IF($Q101&lt;='Data Input 1'!$L$18,'Data Input 1'!$O$18,IF($Q101&lt;='Data Input 1'!$L$19,'Data Input 1'!$O$19,IF($Q101&lt;='Data Input 1'!$L$20,'Data Input 1'!$O$20,IF($Q101&lt;='Data Input 1'!$L$21,'Data Input 1'!$O$21,MAX('Data Input 1'!$O$18:$O$22))))))</f>
        <v>6</v>
      </c>
      <c r="AB101" s="235">
        <f t="shared" si="17"/>
        <v>269.75</v>
      </c>
      <c r="AC101" s="236">
        <f t="shared" si="13"/>
        <v>0.67546583850931674</v>
      </c>
    </row>
    <row r="102" spans="17:29" x14ac:dyDescent="0.2">
      <c r="Q102" s="233">
        <v>68000</v>
      </c>
      <c r="R102" s="234">
        <f>IF($Q102&lt;='Data Input 1'!$J$10,0,IF($Q102&lt;='Data Input 1'!$L$10,'Data Input 1'!$N$10,IF($Q102&lt;='Data Input 1'!$L$11,'Data Input 1'!$N$11,IF($Q102&lt;='Data Input 1'!$L$12,'Data Input 1'!$N$12,IF($Q102&lt;='Data Input 1'!$L$13,'Data Input 1'!$N$13,MAX('Data Input 1'!$N$10:$N$14))))))</f>
        <v>2</v>
      </c>
      <c r="S102" s="235">
        <f t="shared" si="14"/>
        <v>161</v>
      </c>
      <c r="T102" s="234">
        <f>IF($Q102&lt;='Data Input 1'!$J$10,0,IF($Q102&lt;='Data Input 1'!$L$10,'Data Input 1'!$O$10,IF($Q102&lt;='Data Input 1'!$L$11,'Data Input 1'!$O$11,IF($Q102&lt;='Data Input 1'!$L$12,'Data Input 1'!$O$12,IF($Q102&lt;='Data Input 1'!$L$13,'Data Input 1'!$O$13,MAX('Data Input 1'!$O$10:$O$14))))))</f>
        <v>5.25</v>
      </c>
      <c r="U102" s="235">
        <f t="shared" si="15"/>
        <v>250.75</v>
      </c>
      <c r="V102" s="236">
        <f t="shared" si="12"/>
        <v>0.55745341614906829</v>
      </c>
      <c r="X102" s="233">
        <v>68000</v>
      </c>
      <c r="Y102" s="234">
        <f>IF($Q102&lt;='Data Input 1'!$J$18,0,IF($Q102&lt;='Data Input 1'!$L$18,'Data Input 1'!$N$18,IF($Q102&lt;='Data Input 1'!$L$19,'Data Input 1'!$N$19,IF($Q102&lt;='Data Input 1'!$L$20,'Data Input 1'!$N$20,IF($Q102&lt;='Data Input 1'!$L$21,'Data Input 1'!$N$21,MAX('Data Input 1'!$N$18:$N$22))))))</f>
        <v>2</v>
      </c>
      <c r="Z102" s="235">
        <f t="shared" si="16"/>
        <v>163</v>
      </c>
      <c r="AA102" s="234">
        <f>IF($Q102&lt;='Data Input 1'!$J$18,0,IF($Q102&lt;='Data Input 1'!$L$18,'Data Input 1'!$O$18,IF($Q102&lt;='Data Input 1'!$L$19,'Data Input 1'!$O$19,IF($Q102&lt;='Data Input 1'!$L$20,'Data Input 1'!$O$20,IF($Q102&lt;='Data Input 1'!$L$21,'Data Input 1'!$O$21,MAX('Data Input 1'!$O$18:$O$22))))))</f>
        <v>6</v>
      </c>
      <c r="AB102" s="235">
        <f t="shared" si="17"/>
        <v>275.75</v>
      </c>
      <c r="AC102" s="236">
        <f t="shared" si="13"/>
        <v>0.69171779141104295</v>
      </c>
    </row>
    <row r="103" spans="17:29" x14ac:dyDescent="0.2">
      <c r="Q103" s="233">
        <v>69000</v>
      </c>
      <c r="R103" s="234">
        <f>IF($Q103&lt;='Data Input 1'!$J$10,0,IF($Q103&lt;='Data Input 1'!$L$10,'Data Input 1'!$N$10,IF($Q103&lt;='Data Input 1'!$L$11,'Data Input 1'!$N$11,IF($Q103&lt;='Data Input 1'!$L$12,'Data Input 1'!$N$12,IF($Q103&lt;='Data Input 1'!$L$13,'Data Input 1'!$N$13,MAX('Data Input 1'!$N$10:$N$14))))))</f>
        <v>2</v>
      </c>
      <c r="S103" s="235">
        <f t="shared" si="14"/>
        <v>163</v>
      </c>
      <c r="T103" s="234">
        <f>IF($Q103&lt;='Data Input 1'!$J$10,0,IF($Q103&lt;='Data Input 1'!$L$10,'Data Input 1'!$O$10,IF($Q103&lt;='Data Input 1'!$L$11,'Data Input 1'!$O$11,IF($Q103&lt;='Data Input 1'!$L$12,'Data Input 1'!$O$12,IF($Q103&lt;='Data Input 1'!$L$13,'Data Input 1'!$O$13,MAX('Data Input 1'!$O$10:$O$14))))))</f>
        <v>5.25</v>
      </c>
      <c r="U103" s="235">
        <f t="shared" si="15"/>
        <v>256</v>
      </c>
      <c r="V103" s="236">
        <f t="shared" si="12"/>
        <v>0.57055214723926384</v>
      </c>
      <c r="X103" s="233">
        <v>69000</v>
      </c>
      <c r="Y103" s="234">
        <f>IF($Q103&lt;='Data Input 1'!$J$18,0,IF($Q103&lt;='Data Input 1'!$L$18,'Data Input 1'!$N$18,IF($Q103&lt;='Data Input 1'!$L$19,'Data Input 1'!$N$19,IF($Q103&lt;='Data Input 1'!$L$20,'Data Input 1'!$N$20,IF($Q103&lt;='Data Input 1'!$L$21,'Data Input 1'!$N$21,MAX('Data Input 1'!$N$18:$N$22))))))</f>
        <v>2</v>
      </c>
      <c r="Z103" s="235">
        <f t="shared" si="16"/>
        <v>165</v>
      </c>
      <c r="AA103" s="234">
        <f>IF($Q103&lt;='Data Input 1'!$J$18,0,IF($Q103&lt;='Data Input 1'!$L$18,'Data Input 1'!$O$18,IF($Q103&lt;='Data Input 1'!$L$19,'Data Input 1'!$O$19,IF($Q103&lt;='Data Input 1'!$L$20,'Data Input 1'!$O$20,IF($Q103&lt;='Data Input 1'!$L$21,'Data Input 1'!$O$21,MAX('Data Input 1'!$O$18:$O$22))))))</f>
        <v>6</v>
      </c>
      <c r="AB103" s="235">
        <f t="shared" si="17"/>
        <v>281.75</v>
      </c>
      <c r="AC103" s="236">
        <f t="shared" si="13"/>
        <v>0.70757575757575752</v>
      </c>
    </row>
    <row r="104" spans="17:29" x14ac:dyDescent="0.2">
      <c r="Q104" s="233">
        <v>70000</v>
      </c>
      <c r="R104" s="234">
        <f>IF($Q104&lt;='Data Input 1'!$J$10,0,IF($Q104&lt;='Data Input 1'!$L$10,'Data Input 1'!$N$10,IF($Q104&lt;='Data Input 1'!$L$11,'Data Input 1'!$N$11,IF($Q104&lt;='Data Input 1'!$L$12,'Data Input 1'!$N$12,IF($Q104&lt;='Data Input 1'!$L$13,'Data Input 1'!$N$13,MAX('Data Input 1'!$N$10:$N$14))))))</f>
        <v>2</v>
      </c>
      <c r="S104" s="235">
        <f t="shared" si="14"/>
        <v>165</v>
      </c>
      <c r="T104" s="234">
        <f>IF($Q104&lt;='Data Input 1'!$J$10,0,IF($Q104&lt;='Data Input 1'!$L$10,'Data Input 1'!$O$10,IF($Q104&lt;='Data Input 1'!$L$11,'Data Input 1'!$O$11,IF($Q104&lt;='Data Input 1'!$L$12,'Data Input 1'!$O$12,IF($Q104&lt;='Data Input 1'!$L$13,'Data Input 1'!$O$13,MAX('Data Input 1'!$O$10:$O$14))))))</f>
        <v>5.25</v>
      </c>
      <c r="U104" s="235">
        <f t="shared" si="15"/>
        <v>261.25</v>
      </c>
      <c r="V104" s="236">
        <f t="shared" si="12"/>
        <v>0.58333333333333337</v>
      </c>
      <c r="X104" s="233">
        <v>70000</v>
      </c>
      <c r="Y104" s="234">
        <f>IF($Q104&lt;='Data Input 1'!$J$18,0,IF($Q104&lt;='Data Input 1'!$L$18,'Data Input 1'!$N$18,IF($Q104&lt;='Data Input 1'!$L$19,'Data Input 1'!$N$19,IF($Q104&lt;='Data Input 1'!$L$20,'Data Input 1'!$N$20,IF($Q104&lt;='Data Input 1'!$L$21,'Data Input 1'!$N$21,MAX('Data Input 1'!$N$18:$N$22))))))</f>
        <v>2</v>
      </c>
      <c r="Z104" s="235">
        <f t="shared" si="16"/>
        <v>167</v>
      </c>
      <c r="AA104" s="234">
        <f>IF($Q104&lt;='Data Input 1'!$J$18,0,IF($Q104&lt;='Data Input 1'!$L$18,'Data Input 1'!$O$18,IF($Q104&lt;='Data Input 1'!$L$19,'Data Input 1'!$O$19,IF($Q104&lt;='Data Input 1'!$L$20,'Data Input 1'!$O$20,IF($Q104&lt;='Data Input 1'!$L$21,'Data Input 1'!$O$21,MAX('Data Input 1'!$O$18:$O$22))))))</f>
        <v>6</v>
      </c>
      <c r="AB104" s="235">
        <f t="shared" si="17"/>
        <v>287.75</v>
      </c>
      <c r="AC104" s="236">
        <f t="shared" si="13"/>
        <v>0.72305389221556882</v>
      </c>
    </row>
    <row r="105" spans="17:29" x14ac:dyDescent="0.2">
      <c r="Q105" s="233">
        <v>71000</v>
      </c>
      <c r="R105" s="234">
        <f>IF($Q105&lt;='Data Input 1'!$J$10,0,IF($Q105&lt;='Data Input 1'!$L$10,'Data Input 1'!$N$10,IF($Q105&lt;='Data Input 1'!$L$11,'Data Input 1'!$N$11,IF($Q105&lt;='Data Input 1'!$L$12,'Data Input 1'!$N$12,IF($Q105&lt;='Data Input 1'!$L$13,'Data Input 1'!$N$13,MAX('Data Input 1'!$N$10:$N$14))))))</f>
        <v>2</v>
      </c>
      <c r="S105" s="235">
        <f t="shared" si="14"/>
        <v>167</v>
      </c>
      <c r="T105" s="234">
        <f>IF($Q105&lt;='Data Input 1'!$J$10,0,IF($Q105&lt;='Data Input 1'!$L$10,'Data Input 1'!$O$10,IF($Q105&lt;='Data Input 1'!$L$11,'Data Input 1'!$O$11,IF($Q105&lt;='Data Input 1'!$L$12,'Data Input 1'!$O$12,IF($Q105&lt;='Data Input 1'!$L$13,'Data Input 1'!$O$13,MAX('Data Input 1'!$O$10:$O$14))))))</f>
        <v>5.25</v>
      </c>
      <c r="U105" s="235">
        <f t="shared" si="15"/>
        <v>266.5</v>
      </c>
      <c r="V105" s="236">
        <f t="shared" si="12"/>
        <v>0.59580838323353291</v>
      </c>
      <c r="X105" s="233">
        <v>71000</v>
      </c>
      <c r="Y105" s="234">
        <f>IF($Q105&lt;='Data Input 1'!$J$18,0,IF($Q105&lt;='Data Input 1'!$L$18,'Data Input 1'!$N$18,IF($Q105&lt;='Data Input 1'!$L$19,'Data Input 1'!$N$19,IF($Q105&lt;='Data Input 1'!$L$20,'Data Input 1'!$N$20,IF($Q105&lt;='Data Input 1'!$L$21,'Data Input 1'!$N$21,MAX('Data Input 1'!$N$18:$N$22))))))</f>
        <v>2</v>
      </c>
      <c r="Z105" s="235">
        <f t="shared" si="16"/>
        <v>169</v>
      </c>
      <c r="AA105" s="234">
        <f>IF($Q105&lt;='Data Input 1'!$J$18,0,IF($Q105&lt;='Data Input 1'!$L$18,'Data Input 1'!$O$18,IF($Q105&lt;='Data Input 1'!$L$19,'Data Input 1'!$O$19,IF($Q105&lt;='Data Input 1'!$L$20,'Data Input 1'!$O$20,IF($Q105&lt;='Data Input 1'!$L$21,'Data Input 1'!$O$21,MAX('Data Input 1'!$O$18:$O$22))))))</f>
        <v>6</v>
      </c>
      <c r="AB105" s="235">
        <f t="shared" si="17"/>
        <v>293.75</v>
      </c>
      <c r="AC105" s="236">
        <f t="shared" si="13"/>
        <v>0.73816568047337283</v>
      </c>
    </row>
    <row r="106" spans="17:29" x14ac:dyDescent="0.2">
      <c r="Q106" s="233">
        <v>72000</v>
      </c>
      <c r="R106" s="234">
        <f>IF($Q106&lt;='Data Input 1'!$J$10,0,IF($Q106&lt;='Data Input 1'!$L$10,'Data Input 1'!$N$10,IF($Q106&lt;='Data Input 1'!$L$11,'Data Input 1'!$N$11,IF($Q106&lt;='Data Input 1'!$L$12,'Data Input 1'!$N$12,IF($Q106&lt;='Data Input 1'!$L$13,'Data Input 1'!$N$13,MAX('Data Input 1'!$N$10:$N$14))))))</f>
        <v>2</v>
      </c>
      <c r="S106" s="235">
        <f t="shared" si="14"/>
        <v>169</v>
      </c>
      <c r="T106" s="234">
        <f>IF($Q106&lt;='Data Input 1'!$J$10,0,IF($Q106&lt;='Data Input 1'!$L$10,'Data Input 1'!$O$10,IF($Q106&lt;='Data Input 1'!$L$11,'Data Input 1'!$O$11,IF($Q106&lt;='Data Input 1'!$L$12,'Data Input 1'!$O$12,IF($Q106&lt;='Data Input 1'!$L$13,'Data Input 1'!$O$13,MAX('Data Input 1'!$O$10:$O$14))))))</f>
        <v>5.25</v>
      </c>
      <c r="U106" s="235">
        <f t="shared" si="15"/>
        <v>271.75</v>
      </c>
      <c r="V106" s="236">
        <f t="shared" si="12"/>
        <v>0.60798816568047342</v>
      </c>
      <c r="X106" s="233">
        <v>72000</v>
      </c>
      <c r="Y106" s="234">
        <f>IF($Q106&lt;='Data Input 1'!$J$18,0,IF($Q106&lt;='Data Input 1'!$L$18,'Data Input 1'!$N$18,IF($Q106&lt;='Data Input 1'!$L$19,'Data Input 1'!$N$19,IF($Q106&lt;='Data Input 1'!$L$20,'Data Input 1'!$N$20,IF($Q106&lt;='Data Input 1'!$L$21,'Data Input 1'!$N$21,MAX('Data Input 1'!$N$18:$N$22))))))</f>
        <v>2</v>
      </c>
      <c r="Z106" s="235">
        <f t="shared" si="16"/>
        <v>171</v>
      </c>
      <c r="AA106" s="234">
        <f>IF($Q106&lt;='Data Input 1'!$J$18,0,IF($Q106&lt;='Data Input 1'!$L$18,'Data Input 1'!$O$18,IF($Q106&lt;='Data Input 1'!$L$19,'Data Input 1'!$O$19,IF($Q106&lt;='Data Input 1'!$L$20,'Data Input 1'!$O$20,IF($Q106&lt;='Data Input 1'!$L$21,'Data Input 1'!$O$21,MAX('Data Input 1'!$O$18:$O$22))))))</f>
        <v>6</v>
      </c>
      <c r="AB106" s="235">
        <f t="shared" si="17"/>
        <v>299.75</v>
      </c>
      <c r="AC106" s="236">
        <f t="shared" si="13"/>
        <v>0.75292397660818711</v>
      </c>
    </row>
    <row r="107" spans="17:29" x14ac:dyDescent="0.2">
      <c r="Q107" s="233">
        <v>73000</v>
      </c>
      <c r="R107" s="234">
        <f>IF($Q107&lt;='Data Input 1'!$J$10,0,IF($Q107&lt;='Data Input 1'!$L$10,'Data Input 1'!$N$10,IF($Q107&lt;='Data Input 1'!$L$11,'Data Input 1'!$N$11,IF($Q107&lt;='Data Input 1'!$L$12,'Data Input 1'!$N$12,IF($Q107&lt;='Data Input 1'!$L$13,'Data Input 1'!$N$13,MAX('Data Input 1'!$N$10:$N$14))))))</f>
        <v>2</v>
      </c>
      <c r="S107" s="235">
        <f t="shared" si="14"/>
        <v>171</v>
      </c>
      <c r="T107" s="234">
        <f>IF($Q107&lt;='Data Input 1'!$J$10,0,IF($Q107&lt;='Data Input 1'!$L$10,'Data Input 1'!$O$10,IF($Q107&lt;='Data Input 1'!$L$11,'Data Input 1'!$O$11,IF($Q107&lt;='Data Input 1'!$L$12,'Data Input 1'!$O$12,IF($Q107&lt;='Data Input 1'!$L$13,'Data Input 1'!$O$13,MAX('Data Input 1'!$O$10:$O$14))))))</f>
        <v>5.25</v>
      </c>
      <c r="U107" s="235">
        <f t="shared" si="15"/>
        <v>277</v>
      </c>
      <c r="V107" s="236">
        <f t="shared" si="12"/>
        <v>0.61988304093567248</v>
      </c>
      <c r="X107" s="233">
        <v>73000</v>
      </c>
      <c r="Y107" s="234">
        <f>IF($Q107&lt;='Data Input 1'!$J$18,0,IF($Q107&lt;='Data Input 1'!$L$18,'Data Input 1'!$N$18,IF($Q107&lt;='Data Input 1'!$L$19,'Data Input 1'!$N$19,IF($Q107&lt;='Data Input 1'!$L$20,'Data Input 1'!$N$20,IF($Q107&lt;='Data Input 1'!$L$21,'Data Input 1'!$N$21,MAX('Data Input 1'!$N$18:$N$22))))))</f>
        <v>2</v>
      </c>
      <c r="Z107" s="235">
        <f t="shared" si="16"/>
        <v>173</v>
      </c>
      <c r="AA107" s="234">
        <f>IF($Q107&lt;='Data Input 1'!$J$18,0,IF($Q107&lt;='Data Input 1'!$L$18,'Data Input 1'!$O$18,IF($Q107&lt;='Data Input 1'!$L$19,'Data Input 1'!$O$19,IF($Q107&lt;='Data Input 1'!$L$20,'Data Input 1'!$O$20,IF($Q107&lt;='Data Input 1'!$L$21,'Data Input 1'!$O$21,MAX('Data Input 1'!$O$18:$O$22))))))</f>
        <v>6</v>
      </c>
      <c r="AB107" s="235">
        <f t="shared" si="17"/>
        <v>305.75</v>
      </c>
      <c r="AC107" s="236">
        <f t="shared" si="13"/>
        <v>0.76734104046242779</v>
      </c>
    </row>
    <row r="108" spans="17:29" x14ac:dyDescent="0.2">
      <c r="Q108" s="233">
        <v>74000</v>
      </c>
      <c r="R108" s="234">
        <f>IF($Q108&lt;='Data Input 1'!$J$10,0,IF($Q108&lt;='Data Input 1'!$L$10,'Data Input 1'!$N$10,IF($Q108&lt;='Data Input 1'!$L$11,'Data Input 1'!$N$11,IF($Q108&lt;='Data Input 1'!$L$12,'Data Input 1'!$N$12,IF($Q108&lt;='Data Input 1'!$L$13,'Data Input 1'!$N$13,MAX('Data Input 1'!$N$10:$N$14))))))</f>
        <v>2</v>
      </c>
      <c r="S108" s="235">
        <f t="shared" si="14"/>
        <v>173</v>
      </c>
      <c r="T108" s="234">
        <f>IF($Q108&lt;='Data Input 1'!$J$10,0,IF($Q108&lt;='Data Input 1'!$L$10,'Data Input 1'!$O$10,IF($Q108&lt;='Data Input 1'!$L$11,'Data Input 1'!$O$11,IF($Q108&lt;='Data Input 1'!$L$12,'Data Input 1'!$O$12,IF($Q108&lt;='Data Input 1'!$L$13,'Data Input 1'!$O$13,MAX('Data Input 1'!$O$10:$O$14))))))</f>
        <v>5.25</v>
      </c>
      <c r="U108" s="235">
        <f t="shared" si="15"/>
        <v>282.25</v>
      </c>
      <c r="V108" s="236">
        <f t="shared" si="12"/>
        <v>0.63150289017341044</v>
      </c>
      <c r="X108" s="233">
        <v>74000</v>
      </c>
      <c r="Y108" s="234">
        <f>IF($Q108&lt;='Data Input 1'!$J$18,0,IF($Q108&lt;='Data Input 1'!$L$18,'Data Input 1'!$N$18,IF($Q108&lt;='Data Input 1'!$L$19,'Data Input 1'!$N$19,IF($Q108&lt;='Data Input 1'!$L$20,'Data Input 1'!$N$20,IF($Q108&lt;='Data Input 1'!$L$21,'Data Input 1'!$N$21,MAX('Data Input 1'!$N$18:$N$22))))))</f>
        <v>2</v>
      </c>
      <c r="Z108" s="235">
        <f t="shared" si="16"/>
        <v>175</v>
      </c>
      <c r="AA108" s="234">
        <f>IF($Q108&lt;='Data Input 1'!$J$18,0,IF($Q108&lt;='Data Input 1'!$L$18,'Data Input 1'!$O$18,IF($Q108&lt;='Data Input 1'!$L$19,'Data Input 1'!$O$19,IF($Q108&lt;='Data Input 1'!$L$20,'Data Input 1'!$O$20,IF($Q108&lt;='Data Input 1'!$L$21,'Data Input 1'!$O$21,MAX('Data Input 1'!$O$18:$O$22))))))</f>
        <v>6</v>
      </c>
      <c r="AB108" s="235">
        <f t="shared" si="17"/>
        <v>311.75</v>
      </c>
      <c r="AC108" s="236">
        <f t="shared" si="13"/>
        <v>0.78142857142857147</v>
      </c>
    </row>
    <row r="109" spans="17:29" x14ac:dyDescent="0.2">
      <c r="Q109" s="233">
        <v>75000</v>
      </c>
      <c r="R109" s="234">
        <f>IF($Q109&lt;='Data Input 1'!$J$10,0,IF($Q109&lt;='Data Input 1'!$L$10,'Data Input 1'!$N$10,IF($Q109&lt;='Data Input 1'!$L$11,'Data Input 1'!$N$11,IF($Q109&lt;='Data Input 1'!$L$12,'Data Input 1'!$N$12,IF($Q109&lt;='Data Input 1'!$L$13,'Data Input 1'!$N$13,MAX('Data Input 1'!$N$10:$N$14))))))</f>
        <v>2</v>
      </c>
      <c r="S109" s="235">
        <f t="shared" si="14"/>
        <v>175</v>
      </c>
      <c r="T109" s="234">
        <f>IF($Q109&lt;='Data Input 1'!$J$10,0,IF($Q109&lt;='Data Input 1'!$L$10,'Data Input 1'!$O$10,IF($Q109&lt;='Data Input 1'!$L$11,'Data Input 1'!$O$11,IF($Q109&lt;='Data Input 1'!$L$12,'Data Input 1'!$O$12,IF($Q109&lt;='Data Input 1'!$L$13,'Data Input 1'!$O$13,MAX('Data Input 1'!$O$10:$O$14))))))</f>
        <v>5.25</v>
      </c>
      <c r="U109" s="235">
        <f t="shared" si="15"/>
        <v>287.5</v>
      </c>
      <c r="V109" s="236">
        <f t="shared" si="12"/>
        <v>0.6428571428571429</v>
      </c>
      <c r="X109" s="233">
        <v>75000</v>
      </c>
      <c r="Y109" s="234">
        <f>IF($Q109&lt;='Data Input 1'!$J$18,0,IF($Q109&lt;='Data Input 1'!$L$18,'Data Input 1'!$N$18,IF($Q109&lt;='Data Input 1'!$L$19,'Data Input 1'!$N$19,IF($Q109&lt;='Data Input 1'!$L$20,'Data Input 1'!$N$20,IF($Q109&lt;='Data Input 1'!$L$21,'Data Input 1'!$N$21,MAX('Data Input 1'!$N$18:$N$22))))))</f>
        <v>2</v>
      </c>
      <c r="Z109" s="235">
        <f t="shared" si="16"/>
        <v>177</v>
      </c>
      <c r="AA109" s="234">
        <f>IF($Q109&lt;='Data Input 1'!$J$18,0,IF($Q109&lt;='Data Input 1'!$L$18,'Data Input 1'!$O$18,IF($Q109&lt;='Data Input 1'!$L$19,'Data Input 1'!$O$19,IF($Q109&lt;='Data Input 1'!$L$20,'Data Input 1'!$O$20,IF($Q109&lt;='Data Input 1'!$L$21,'Data Input 1'!$O$21,MAX('Data Input 1'!$O$18:$O$22))))))</f>
        <v>6</v>
      </c>
      <c r="AB109" s="235">
        <f t="shared" si="17"/>
        <v>317.75</v>
      </c>
      <c r="AC109" s="236">
        <f t="shared" si="13"/>
        <v>0.79519774011299438</v>
      </c>
    </row>
    <row r="110" spans="17:29" x14ac:dyDescent="0.2">
      <c r="Q110" s="233">
        <v>76000</v>
      </c>
      <c r="R110" s="234">
        <f>IF($Q110&lt;='Data Input 1'!$J$10,0,IF($Q110&lt;='Data Input 1'!$L$10,'Data Input 1'!$N$10,IF($Q110&lt;='Data Input 1'!$L$11,'Data Input 1'!$N$11,IF($Q110&lt;='Data Input 1'!$L$12,'Data Input 1'!$N$12,IF($Q110&lt;='Data Input 1'!$L$13,'Data Input 1'!$N$13,MAX('Data Input 1'!$N$10:$N$14))))))</f>
        <v>2</v>
      </c>
      <c r="S110" s="235">
        <f t="shared" si="14"/>
        <v>177</v>
      </c>
      <c r="T110" s="234">
        <f>IF($Q110&lt;='Data Input 1'!$J$10,0,IF($Q110&lt;='Data Input 1'!$L$10,'Data Input 1'!$O$10,IF($Q110&lt;='Data Input 1'!$L$11,'Data Input 1'!$O$11,IF($Q110&lt;='Data Input 1'!$L$12,'Data Input 1'!$O$12,IF($Q110&lt;='Data Input 1'!$L$13,'Data Input 1'!$O$13,MAX('Data Input 1'!$O$10:$O$14))))))</f>
        <v>5.25</v>
      </c>
      <c r="U110" s="235">
        <f t="shared" si="15"/>
        <v>292.75</v>
      </c>
      <c r="V110" s="236">
        <f t="shared" si="12"/>
        <v>0.653954802259887</v>
      </c>
      <c r="X110" s="233">
        <v>76000</v>
      </c>
      <c r="Y110" s="234">
        <f>IF($Q110&lt;='Data Input 1'!$J$18,0,IF($Q110&lt;='Data Input 1'!$L$18,'Data Input 1'!$N$18,IF($Q110&lt;='Data Input 1'!$L$19,'Data Input 1'!$N$19,IF($Q110&lt;='Data Input 1'!$L$20,'Data Input 1'!$N$20,IF($Q110&lt;='Data Input 1'!$L$21,'Data Input 1'!$N$21,MAX('Data Input 1'!$N$18:$N$22))))))</f>
        <v>2</v>
      </c>
      <c r="Z110" s="235">
        <f t="shared" si="16"/>
        <v>179</v>
      </c>
      <c r="AA110" s="234">
        <f>IF($Q110&lt;='Data Input 1'!$J$18,0,IF($Q110&lt;='Data Input 1'!$L$18,'Data Input 1'!$O$18,IF($Q110&lt;='Data Input 1'!$L$19,'Data Input 1'!$O$19,IF($Q110&lt;='Data Input 1'!$L$20,'Data Input 1'!$O$20,IF($Q110&lt;='Data Input 1'!$L$21,'Data Input 1'!$O$21,MAX('Data Input 1'!$O$18:$O$22))))))</f>
        <v>6</v>
      </c>
      <c r="AB110" s="235">
        <f t="shared" si="17"/>
        <v>323.75</v>
      </c>
      <c r="AC110" s="236">
        <f t="shared" si="13"/>
        <v>0.80865921787709494</v>
      </c>
    </row>
    <row r="111" spans="17:29" x14ac:dyDescent="0.2">
      <c r="Q111" s="233">
        <v>77000</v>
      </c>
      <c r="R111" s="234">
        <f>IF($Q111&lt;='Data Input 1'!$J$10,0,IF($Q111&lt;='Data Input 1'!$L$10,'Data Input 1'!$N$10,IF($Q111&lt;='Data Input 1'!$L$11,'Data Input 1'!$N$11,IF($Q111&lt;='Data Input 1'!$L$12,'Data Input 1'!$N$12,IF($Q111&lt;='Data Input 1'!$L$13,'Data Input 1'!$N$13,MAX('Data Input 1'!$N$10:$N$14))))))</f>
        <v>2</v>
      </c>
      <c r="S111" s="235">
        <f t="shared" si="14"/>
        <v>179</v>
      </c>
      <c r="T111" s="234">
        <f>IF($Q111&lt;='Data Input 1'!$J$10,0,IF($Q111&lt;='Data Input 1'!$L$10,'Data Input 1'!$O$10,IF($Q111&lt;='Data Input 1'!$L$11,'Data Input 1'!$O$11,IF($Q111&lt;='Data Input 1'!$L$12,'Data Input 1'!$O$12,IF($Q111&lt;='Data Input 1'!$L$13,'Data Input 1'!$O$13,MAX('Data Input 1'!$O$10:$O$14))))))</f>
        <v>5.25</v>
      </c>
      <c r="U111" s="235">
        <f t="shared" si="15"/>
        <v>298</v>
      </c>
      <c r="V111" s="236">
        <f t="shared" si="12"/>
        <v>0.66480446927374304</v>
      </c>
      <c r="X111" s="233">
        <v>77000</v>
      </c>
      <c r="Y111" s="234">
        <f>IF($Q111&lt;='Data Input 1'!$J$18,0,IF($Q111&lt;='Data Input 1'!$L$18,'Data Input 1'!$N$18,IF($Q111&lt;='Data Input 1'!$L$19,'Data Input 1'!$N$19,IF($Q111&lt;='Data Input 1'!$L$20,'Data Input 1'!$N$20,IF($Q111&lt;='Data Input 1'!$L$21,'Data Input 1'!$N$21,MAX('Data Input 1'!$N$18:$N$22))))))</f>
        <v>2</v>
      </c>
      <c r="Z111" s="235">
        <f t="shared" si="16"/>
        <v>181</v>
      </c>
      <c r="AA111" s="234">
        <f>IF($Q111&lt;='Data Input 1'!$J$18,0,IF($Q111&lt;='Data Input 1'!$L$18,'Data Input 1'!$O$18,IF($Q111&lt;='Data Input 1'!$L$19,'Data Input 1'!$O$19,IF($Q111&lt;='Data Input 1'!$L$20,'Data Input 1'!$O$20,IF($Q111&lt;='Data Input 1'!$L$21,'Data Input 1'!$O$21,MAX('Data Input 1'!$O$18:$O$22))))))</f>
        <v>6</v>
      </c>
      <c r="AB111" s="235">
        <f t="shared" si="17"/>
        <v>329.75</v>
      </c>
      <c r="AC111" s="236">
        <f t="shared" si="13"/>
        <v>0.82182320441988954</v>
      </c>
    </row>
    <row r="112" spans="17:29" x14ac:dyDescent="0.2">
      <c r="Q112" s="233">
        <v>78000</v>
      </c>
      <c r="R112" s="234">
        <f>IF($Q112&lt;='Data Input 1'!$J$10,0,IF($Q112&lt;='Data Input 1'!$L$10,'Data Input 1'!$N$10,IF($Q112&lt;='Data Input 1'!$L$11,'Data Input 1'!$N$11,IF($Q112&lt;='Data Input 1'!$L$12,'Data Input 1'!$N$12,IF($Q112&lt;='Data Input 1'!$L$13,'Data Input 1'!$N$13,MAX('Data Input 1'!$N$10:$N$14))))))</f>
        <v>2</v>
      </c>
      <c r="S112" s="235">
        <f t="shared" si="14"/>
        <v>181</v>
      </c>
      <c r="T112" s="234">
        <f>IF($Q112&lt;='Data Input 1'!$J$10,0,IF($Q112&lt;='Data Input 1'!$L$10,'Data Input 1'!$O$10,IF($Q112&lt;='Data Input 1'!$L$11,'Data Input 1'!$O$11,IF($Q112&lt;='Data Input 1'!$L$12,'Data Input 1'!$O$12,IF($Q112&lt;='Data Input 1'!$L$13,'Data Input 1'!$O$13,MAX('Data Input 1'!$O$10:$O$14))))))</f>
        <v>5.25</v>
      </c>
      <c r="U112" s="235">
        <f t="shared" si="15"/>
        <v>303.25</v>
      </c>
      <c r="V112" s="236">
        <f t="shared" si="12"/>
        <v>0.675414364640884</v>
      </c>
      <c r="X112" s="233">
        <v>78000</v>
      </c>
      <c r="Y112" s="234">
        <f>IF($Q112&lt;='Data Input 1'!$J$18,0,IF($Q112&lt;='Data Input 1'!$L$18,'Data Input 1'!$N$18,IF($Q112&lt;='Data Input 1'!$L$19,'Data Input 1'!$N$19,IF($Q112&lt;='Data Input 1'!$L$20,'Data Input 1'!$N$20,IF($Q112&lt;='Data Input 1'!$L$21,'Data Input 1'!$N$21,MAX('Data Input 1'!$N$18:$N$22))))))</f>
        <v>2</v>
      </c>
      <c r="Z112" s="235">
        <f t="shared" si="16"/>
        <v>183</v>
      </c>
      <c r="AA112" s="234">
        <f>IF($Q112&lt;='Data Input 1'!$J$18,0,IF($Q112&lt;='Data Input 1'!$L$18,'Data Input 1'!$O$18,IF($Q112&lt;='Data Input 1'!$L$19,'Data Input 1'!$O$19,IF($Q112&lt;='Data Input 1'!$L$20,'Data Input 1'!$O$20,IF($Q112&lt;='Data Input 1'!$L$21,'Data Input 1'!$O$21,MAX('Data Input 1'!$O$18:$O$22))))))</f>
        <v>6</v>
      </c>
      <c r="AB112" s="235">
        <f t="shared" si="17"/>
        <v>335.75</v>
      </c>
      <c r="AC112" s="236">
        <f t="shared" si="13"/>
        <v>0.83469945355191255</v>
      </c>
    </row>
    <row r="113" spans="17:29" x14ac:dyDescent="0.2">
      <c r="Q113" s="233">
        <v>79000</v>
      </c>
      <c r="R113" s="234">
        <f>IF($Q113&lt;='Data Input 1'!$J$10,0,IF($Q113&lt;='Data Input 1'!$L$10,'Data Input 1'!$N$10,IF($Q113&lt;='Data Input 1'!$L$11,'Data Input 1'!$N$11,IF($Q113&lt;='Data Input 1'!$L$12,'Data Input 1'!$N$12,IF($Q113&lt;='Data Input 1'!$L$13,'Data Input 1'!$N$13,MAX('Data Input 1'!$N$10:$N$14))))))</f>
        <v>2</v>
      </c>
      <c r="S113" s="235">
        <f t="shared" si="14"/>
        <v>183</v>
      </c>
      <c r="T113" s="234">
        <f>IF($Q113&lt;='Data Input 1'!$J$10,0,IF($Q113&lt;='Data Input 1'!$L$10,'Data Input 1'!$O$10,IF($Q113&lt;='Data Input 1'!$L$11,'Data Input 1'!$O$11,IF($Q113&lt;='Data Input 1'!$L$12,'Data Input 1'!$O$12,IF($Q113&lt;='Data Input 1'!$L$13,'Data Input 1'!$O$13,MAX('Data Input 1'!$O$10:$O$14))))))</f>
        <v>5.25</v>
      </c>
      <c r="U113" s="235">
        <f t="shared" si="15"/>
        <v>308.5</v>
      </c>
      <c r="V113" s="236">
        <f t="shared" si="12"/>
        <v>0.68579234972677594</v>
      </c>
      <c r="X113" s="233">
        <v>79000</v>
      </c>
      <c r="Y113" s="234">
        <f>IF($Q113&lt;='Data Input 1'!$J$18,0,IF($Q113&lt;='Data Input 1'!$L$18,'Data Input 1'!$N$18,IF($Q113&lt;='Data Input 1'!$L$19,'Data Input 1'!$N$19,IF($Q113&lt;='Data Input 1'!$L$20,'Data Input 1'!$N$20,IF($Q113&lt;='Data Input 1'!$L$21,'Data Input 1'!$N$21,MAX('Data Input 1'!$N$18:$N$22))))))</f>
        <v>2</v>
      </c>
      <c r="Z113" s="235">
        <f t="shared" si="16"/>
        <v>185</v>
      </c>
      <c r="AA113" s="234">
        <f>IF($Q113&lt;='Data Input 1'!$J$18,0,IF($Q113&lt;='Data Input 1'!$L$18,'Data Input 1'!$O$18,IF($Q113&lt;='Data Input 1'!$L$19,'Data Input 1'!$O$19,IF($Q113&lt;='Data Input 1'!$L$20,'Data Input 1'!$O$20,IF($Q113&lt;='Data Input 1'!$L$21,'Data Input 1'!$O$21,MAX('Data Input 1'!$O$18:$O$22))))))</f>
        <v>6</v>
      </c>
      <c r="AB113" s="235">
        <f t="shared" si="17"/>
        <v>341.75</v>
      </c>
      <c r="AC113" s="236">
        <f t="shared" si="13"/>
        <v>0.8472972972972973</v>
      </c>
    </row>
    <row r="114" spans="17:29" x14ac:dyDescent="0.2">
      <c r="Q114" s="233">
        <v>80000</v>
      </c>
      <c r="R114" s="234">
        <f>IF($Q114&lt;='Data Input 1'!$J$10,0,IF($Q114&lt;='Data Input 1'!$L$10,'Data Input 1'!$N$10,IF($Q114&lt;='Data Input 1'!$L$11,'Data Input 1'!$N$11,IF($Q114&lt;='Data Input 1'!$L$12,'Data Input 1'!$N$12,IF($Q114&lt;='Data Input 1'!$L$13,'Data Input 1'!$N$13,MAX('Data Input 1'!$N$10:$N$14))))))</f>
        <v>2</v>
      </c>
      <c r="S114" s="235">
        <f t="shared" si="14"/>
        <v>185</v>
      </c>
      <c r="T114" s="234">
        <f>IF($Q114&lt;='Data Input 1'!$J$10,0,IF($Q114&lt;='Data Input 1'!$L$10,'Data Input 1'!$O$10,IF($Q114&lt;='Data Input 1'!$L$11,'Data Input 1'!$O$11,IF($Q114&lt;='Data Input 1'!$L$12,'Data Input 1'!$O$12,IF($Q114&lt;='Data Input 1'!$L$13,'Data Input 1'!$O$13,MAX('Data Input 1'!$O$10:$O$14))))))</f>
        <v>5.25</v>
      </c>
      <c r="U114" s="235">
        <f t="shared" si="15"/>
        <v>313.75</v>
      </c>
      <c r="V114" s="236">
        <f t="shared" si="12"/>
        <v>0.69594594594594594</v>
      </c>
      <c r="X114" s="233">
        <v>80000</v>
      </c>
      <c r="Y114" s="234">
        <f>IF($Q114&lt;='Data Input 1'!$J$18,0,IF($Q114&lt;='Data Input 1'!$L$18,'Data Input 1'!$N$18,IF($Q114&lt;='Data Input 1'!$L$19,'Data Input 1'!$N$19,IF($Q114&lt;='Data Input 1'!$L$20,'Data Input 1'!$N$20,IF($Q114&lt;='Data Input 1'!$L$21,'Data Input 1'!$N$21,MAX('Data Input 1'!$N$18:$N$22))))))</f>
        <v>2</v>
      </c>
      <c r="Z114" s="235">
        <f t="shared" si="16"/>
        <v>187</v>
      </c>
      <c r="AA114" s="234">
        <f>IF($Q114&lt;='Data Input 1'!$J$18,0,IF($Q114&lt;='Data Input 1'!$L$18,'Data Input 1'!$O$18,IF($Q114&lt;='Data Input 1'!$L$19,'Data Input 1'!$O$19,IF($Q114&lt;='Data Input 1'!$L$20,'Data Input 1'!$O$20,IF($Q114&lt;='Data Input 1'!$L$21,'Data Input 1'!$O$21,MAX('Data Input 1'!$O$18:$O$22))))))</f>
        <v>6</v>
      </c>
      <c r="AB114" s="235">
        <f t="shared" si="17"/>
        <v>347.75</v>
      </c>
      <c r="AC114" s="236">
        <f t="shared" si="13"/>
        <v>0.85962566844919786</v>
      </c>
    </row>
    <row r="115" spans="17:29" x14ac:dyDescent="0.2">
      <c r="Q115" s="233">
        <v>81000</v>
      </c>
      <c r="R115" s="234">
        <f>IF($Q115&lt;='Data Input 1'!$J$10,0,IF($Q115&lt;='Data Input 1'!$L$10,'Data Input 1'!$N$10,IF($Q115&lt;='Data Input 1'!$L$11,'Data Input 1'!$N$11,IF($Q115&lt;='Data Input 1'!$L$12,'Data Input 1'!$N$12,IF($Q115&lt;='Data Input 1'!$L$13,'Data Input 1'!$N$13,MAX('Data Input 1'!$N$10:$N$14))))))</f>
        <v>2</v>
      </c>
      <c r="S115" s="235">
        <f t="shared" si="14"/>
        <v>187</v>
      </c>
      <c r="T115" s="234">
        <f>IF($Q115&lt;='Data Input 1'!$J$10,0,IF($Q115&lt;='Data Input 1'!$L$10,'Data Input 1'!$O$10,IF($Q115&lt;='Data Input 1'!$L$11,'Data Input 1'!$O$11,IF($Q115&lt;='Data Input 1'!$L$12,'Data Input 1'!$O$12,IF($Q115&lt;='Data Input 1'!$L$13,'Data Input 1'!$O$13,MAX('Data Input 1'!$O$10:$O$14))))))</f>
        <v>5.25</v>
      </c>
      <c r="U115" s="235">
        <f t="shared" si="15"/>
        <v>319</v>
      </c>
      <c r="V115" s="236">
        <f t="shared" si="12"/>
        <v>0.70588235294117652</v>
      </c>
      <c r="X115" s="233">
        <v>81000</v>
      </c>
      <c r="Y115" s="234">
        <f>IF($Q115&lt;='Data Input 1'!$J$18,0,IF($Q115&lt;='Data Input 1'!$L$18,'Data Input 1'!$N$18,IF($Q115&lt;='Data Input 1'!$L$19,'Data Input 1'!$N$19,IF($Q115&lt;='Data Input 1'!$L$20,'Data Input 1'!$N$20,IF($Q115&lt;='Data Input 1'!$L$21,'Data Input 1'!$N$21,MAX('Data Input 1'!$N$18:$N$22))))))</f>
        <v>2</v>
      </c>
      <c r="Z115" s="235">
        <f t="shared" si="16"/>
        <v>189</v>
      </c>
      <c r="AA115" s="234">
        <f>IF($Q115&lt;='Data Input 1'!$J$18,0,IF($Q115&lt;='Data Input 1'!$L$18,'Data Input 1'!$O$18,IF($Q115&lt;='Data Input 1'!$L$19,'Data Input 1'!$O$19,IF($Q115&lt;='Data Input 1'!$L$20,'Data Input 1'!$O$20,IF($Q115&lt;='Data Input 1'!$L$21,'Data Input 1'!$O$21,MAX('Data Input 1'!$O$18:$O$22))))))</f>
        <v>6</v>
      </c>
      <c r="AB115" s="235">
        <f t="shared" si="17"/>
        <v>353.75</v>
      </c>
      <c r="AC115" s="236">
        <f t="shared" si="13"/>
        <v>0.87169312169312174</v>
      </c>
    </row>
    <row r="116" spans="17:29" x14ac:dyDescent="0.2">
      <c r="Q116" s="233">
        <v>82000</v>
      </c>
      <c r="R116" s="234">
        <f>IF($Q116&lt;='Data Input 1'!$J$10,0,IF($Q116&lt;='Data Input 1'!$L$10,'Data Input 1'!$N$10,IF($Q116&lt;='Data Input 1'!$L$11,'Data Input 1'!$N$11,IF($Q116&lt;='Data Input 1'!$L$12,'Data Input 1'!$N$12,IF($Q116&lt;='Data Input 1'!$L$13,'Data Input 1'!$N$13,MAX('Data Input 1'!$N$10:$N$14))))))</f>
        <v>2</v>
      </c>
      <c r="S116" s="235">
        <f t="shared" si="14"/>
        <v>189</v>
      </c>
      <c r="T116" s="234">
        <f>IF($Q116&lt;='Data Input 1'!$J$10,0,IF($Q116&lt;='Data Input 1'!$L$10,'Data Input 1'!$O$10,IF($Q116&lt;='Data Input 1'!$L$11,'Data Input 1'!$O$11,IF($Q116&lt;='Data Input 1'!$L$12,'Data Input 1'!$O$12,IF($Q116&lt;='Data Input 1'!$L$13,'Data Input 1'!$O$13,MAX('Data Input 1'!$O$10:$O$14))))))</f>
        <v>5.25</v>
      </c>
      <c r="U116" s="235">
        <f t="shared" si="15"/>
        <v>324.25</v>
      </c>
      <c r="V116" s="236">
        <f t="shared" si="12"/>
        <v>0.71560846560846558</v>
      </c>
      <c r="X116" s="233">
        <v>82000</v>
      </c>
      <c r="Y116" s="234">
        <f>IF($Q116&lt;='Data Input 1'!$J$18,0,IF($Q116&lt;='Data Input 1'!$L$18,'Data Input 1'!$N$18,IF($Q116&lt;='Data Input 1'!$L$19,'Data Input 1'!$N$19,IF($Q116&lt;='Data Input 1'!$L$20,'Data Input 1'!$N$20,IF($Q116&lt;='Data Input 1'!$L$21,'Data Input 1'!$N$21,MAX('Data Input 1'!$N$18:$N$22))))))</f>
        <v>2</v>
      </c>
      <c r="Z116" s="235">
        <f t="shared" si="16"/>
        <v>191</v>
      </c>
      <c r="AA116" s="234">
        <f>IF($Q116&lt;='Data Input 1'!$J$18,0,IF($Q116&lt;='Data Input 1'!$L$18,'Data Input 1'!$O$18,IF($Q116&lt;='Data Input 1'!$L$19,'Data Input 1'!$O$19,IF($Q116&lt;='Data Input 1'!$L$20,'Data Input 1'!$O$20,IF($Q116&lt;='Data Input 1'!$L$21,'Data Input 1'!$O$21,MAX('Data Input 1'!$O$18:$O$22))))))</f>
        <v>6</v>
      </c>
      <c r="AB116" s="235">
        <f t="shared" si="17"/>
        <v>359.75</v>
      </c>
      <c r="AC116" s="236">
        <f t="shared" si="13"/>
        <v>0.88350785340314131</v>
      </c>
    </row>
    <row r="117" spans="17:29" x14ac:dyDescent="0.2">
      <c r="Q117" s="233">
        <v>83000</v>
      </c>
      <c r="R117" s="234">
        <f>IF($Q117&lt;='Data Input 1'!$J$10,0,IF($Q117&lt;='Data Input 1'!$L$10,'Data Input 1'!$N$10,IF($Q117&lt;='Data Input 1'!$L$11,'Data Input 1'!$N$11,IF($Q117&lt;='Data Input 1'!$L$12,'Data Input 1'!$N$12,IF($Q117&lt;='Data Input 1'!$L$13,'Data Input 1'!$N$13,MAX('Data Input 1'!$N$10:$N$14))))))</f>
        <v>2</v>
      </c>
      <c r="S117" s="235">
        <f t="shared" si="14"/>
        <v>191</v>
      </c>
      <c r="T117" s="234">
        <f>IF($Q117&lt;='Data Input 1'!$J$10,0,IF($Q117&lt;='Data Input 1'!$L$10,'Data Input 1'!$O$10,IF($Q117&lt;='Data Input 1'!$L$11,'Data Input 1'!$O$11,IF($Q117&lt;='Data Input 1'!$L$12,'Data Input 1'!$O$12,IF($Q117&lt;='Data Input 1'!$L$13,'Data Input 1'!$O$13,MAX('Data Input 1'!$O$10:$O$14))))))</f>
        <v>5.25</v>
      </c>
      <c r="U117" s="235">
        <f t="shared" si="15"/>
        <v>329.5</v>
      </c>
      <c r="V117" s="236">
        <f t="shared" si="12"/>
        <v>0.72513089005235598</v>
      </c>
      <c r="X117" s="233">
        <v>83000</v>
      </c>
      <c r="Y117" s="234">
        <f>IF($Q117&lt;='Data Input 1'!$J$18,0,IF($Q117&lt;='Data Input 1'!$L$18,'Data Input 1'!$N$18,IF($Q117&lt;='Data Input 1'!$L$19,'Data Input 1'!$N$19,IF($Q117&lt;='Data Input 1'!$L$20,'Data Input 1'!$N$20,IF($Q117&lt;='Data Input 1'!$L$21,'Data Input 1'!$N$21,MAX('Data Input 1'!$N$18:$N$22))))))</f>
        <v>2</v>
      </c>
      <c r="Z117" s="235">
        <f t="shared" si="16"/>
        <v>193</v>
      </c>
      <c r="AA117" s="234">
        <f>IF($Q117&lt;='Data Input 1'!$J$18,0,IF($Q117&lt;='Data Input 1'!$L$18,'Data Input 1'!$O$18,IF($Q117&lt;='Data Input 1'!$L$19,'Data Input 1'!$O$19,IF($Q117&lt;='Data Input 1'!$L$20,'Data Input 1'!$O$20,IF($Q117&lt;='Data Input 1'!$L$21,'Data Input 1'!$O$21,MAX('Data Input 1'!$O$18:$O$22))))))</f>
        <v>6</v>
      </c>
      <c r="AB117" s="235">
        <f t="shared" si="17"/>
        <v>365.75</v>
      </c>
      <c r="AC117" s="236">
        <f t="shared" si="13"/>
        <v>0.89507772020725385</v>
      </c>
    </row>
    <row r="118" spans="17:29" x14ac:dyDescent="0.2">
      <c r="Q118" s="233">
        <v>84000</v>
      </c>
      <c r="R118" s="234">
        <f>IF($Q118&lt;='Data Input 1'!$J$10,0,IF($Q118&lt;='Data Input 1'!$L$10,'Data Input 1'!$N$10,IF($Q118&lt;='Data Input 1'!$L$11,'Data Input 1'!$N$11,IF($Q118&lt;='Data Input 1'!$L$12,'Data Input 1'!$N$12,IF($Q118&lt;='Data Input 1'!$L$13,'Data Input 1'!$N$13,MAX('Data Input 1'!$N$10:$N$14))))))</f>
        <v>2</v>
      </c>
      <c r="S118" s="235">
        <f t="shared" si="14"/>
        <v>193</v>
      </c>
      <c r="T118" s="234">
        <f>IF($Q118&lt;='Data Input 1'!$J$10,0,IF($Q118&lt;='Data Input 1'!$L$10,'Data Input 1'!$O$10,IF($Q118&lt;='Data Input 1'!$L$11,'Data Input 1'!$O$11,IF($Q118&lt;='Data Input 1'!$L$12,'Data Input 1'!$O$12,IF($Q118&lt;='Data Input 1'!$L$13,'Data Input 1'!$O$13,MAX('Data Input 1'!$O$10:$O$14))))))</f>
        <v>5.25</v>
      </c>
      <c r="U118" s="235">
        <f t="shared" si="15"/>
        <v>334.75</v>
      </c>
      <c r="V118" s="236">
        <f t="shared" si="12"/>
        <v>0.73445595854922274</v>
      </c>
      <c r="X118" s="233">
        <v>84000</v>
      </c>
      <c r="Y118" s="234">
        <f>IF($Q118&lt;='Data Input 1'!$J$18,0,IF($Q118&lt;='Data Input 1'!$L$18,'Data Input 1'!$N$18,IF($Q118&lt;='Data Input 1'!$L$19,'Data Input 1'!$N$19,IF($Q118&lt;='Data Input 1'!$L$20,'Data Input 1'!$N$20,IF($Q118&lt;='Data Input 1'!$L$21,'Data Input 1'!$N$21,MAX('Data Input 1'!$N$18:$N$22))))))</f>
        <v>2</v>
      </c>
      <c r="Z118" s="235">
        <f t="shared" si="16"/>
        <v>195</v>
      </c>
      <c r="AA118" s="234">
        <f>IF($Q118&lt;='Data Input 1'!$J$18,0,IF($Q118&lt;='Data Input 1'!$L$18,'Data Input 1'!$O$18,IF($Q118&lt;='Data Input 1'!$L$19,'Data Input 1'!$O$19,IF($Q118&lt;='Data Input 1'!$L$20,'Data Input 1'!$O$20,IF($Q118&lt;='Data Input 1'!$L$21,'Data Input 1'!$O$21,MAX('Data Input 1'!$O$18:$O$22))))))</f>
        <v>6</v>
      </c>
      <c r="AB118" s="235">
        <f t="shared" si="17"/>
        <v>371.75</v>
      </c>
      <c r="AC118" s="236">
        <f t="shared" si="13"/>
        <v>0.90641025641025641</v>
      </c>
    </row>
    <row r="119" spans="17:29" x14ac:dyDescent="0.2">
      <c r="Q119" s="233">
        <v>85000</v>
      </c>
      <c r="R119" s="234">
        <f>IF($Q119&lt;='Data Input 1'!$J$10,0,IF($Q119&lt;='Data Input 1'!$L$10,'Data Input 1'!$N$10,IF($Q119&lt;='Data Input 1'!$L$11,'Data Input 1'!$N$11,IF($Q119&lt;='Data Input 1'!$L$12,'Data Input 1'!$N$12,IF($Q119&lt;='Data Input 1'!$L$13,'Data Input 1'!$N$13,MAX('Data Input 1'!$N$10:$N$14))))))</f>
        <v>2</v>
      </c>
      <c r="S119" s="235">
        <f t="shared" si="14"/>
        <v>195</v>
      </c>
      <c r="T119" s="234">
        <f>IF($Q119&lt;='Data Input 1'!$J$10,0,IF($Q119&lt;='Data Input 1'!$L$10,'Data Input 1'!$O$10,IF($Q119&lt;='Data Input 1'!$L$11,'Data Input 1'!$O$11,IF($Q119&lt;='Data Input 1'!$L$12,'Data Input 1'!$O$12,IF($Q119&lt;='Data Input 1'!$L$13,'Data Input 1'!$O$13,MAX('Data Input 1'!$O$10:$O$14))))))</f>
        <v>5.25</v>
      </c>
      <c r="U119" s="235">
        <f t="shared" si="15"/>
        <v>340</v>
      </c>
      <c r="V119" s="236">
        <f t="shared" si="12"/>
        <v>0.74358974358974361</v>
      </c>
      <c r="X119" s="233">
        <v>85000</v>
      </c>
      <c r="Y119" s="234">
        <f>IF($Q119&lt;='Data Input 1'!$J$18,0,IF($Q119&lt;='Data Input 1'!$L$18,'Data Input 1'!$N$18,IF($Q119&lt;='Data Input 1'!$L$19,'Data Input 1'!$N$19,IF($Q119&lt;='Data Input 1'!$L$20,'Data Input 1'!$N$20,IF($Q119&lt;='Data Input 1'!$L$21,'Data Input 1'!$N$21,MAX('Data Input 1'!$N$18:$N$22))))))</f>
        <v>2</v>
      </c>
      <c r="Z119" s="235">
        <f t="shared" si="16"/>
        <v>197</v>
      </c>
      <c r="AA119" s="234">
        <f>IF($Q119&lt;='Data Input 1'!$J$18,0,IF($Q119&lt;='Data Input 1'!$L$18,'Data Input 1'!$O$18,IF($Q119&lt;='Data Input 1'!$L$19,'Data Input 1'!$O$19,IF($Q119&lt;='Data Input 1'!$L$20,'Data Input 1'!$O$20,IF($Q119&lt;='Data Input 1'!$L$21,'Data Input 1'!$O$21,MAX('Data Input 1'!$O$18:$O$22))))))</f>
        <v>6</v>
      </c>
      <c r="AB119" s="235">
        <f t="shared" si="17"/>
        <v>377.75</v>
      </c>
      <c r="AC119" s="236">
        <f t="shared" si="13"/>
        <v>0.9175126903553299</v>
      </c>
    </row>
    <row r="120" spans="17:29" x14ac:dyDescent="0.2">
      <c r="Q120" s="233">
        <v>86000</v>
      </c>
      <c r="R120" s="234">
        <f>IF($Q120&lt;='Data Input 1'!$J$10,0,IF($Q120&lt;='Data Input 1'!$L$10,'Data Input 1'!$N$10,IF($Q120&lt;='Data Input 1'!$L$11,'Data Input 1'!$N$11,IF($Q120&lt;='Data Input 1'!$L$12,'Data Input 1'!$N$12,IF($Q120&lt;='Data Input 1'!$L$13,'Data Input 1'!$N$13,MAX('Data Input 1'!$N$10:$N$14))))))</f>
        <v>2</v>
      </c>
      <c r="S120" s="235">
        <f t="shared" si="14"/>
        <v>197</v>
      </c>
      <c r="T120" s="234">
        <f>IF($Q120&lt;='Data Input 1'!$J$10,0,IF($Q120&lt;='Data Input 1'!$L$10,'Data Input 1'!$O$10,IF($Q120&lt;='Data Input 1'!$L$11,'Data Input 1'!$O$11,IF($Q120&lt;='Data Input 1'!$L$12,'Data Input 1'!$O$12,IF($Q120&lt;='Data Input 1'!$L$13,'Data Input 1'!$O$13,MAX('Data Input 1'!$O$10:$O$14))))))</f>
        <v>5.25</v>
      </c>
      <c r="U120" s="235">
        <f t="shared" si="15"/>
        <v>345.25</v>
      </c>
      <c r="V120" s="236">
        <f t="shared" si="12"/>
        <v>0.7525380710659898</v>
      </c>
      <c r="X120" s="233">
        <v>86000</v>
      </c>
      <c r="Y120" s="234">
        <f>IF($Q120&lt;='Data Input 1'!$J$18,0,IF($Q120&lt;='Data Input 1'!$L$18,'Data Input 1'!$N$18,IF($Q120&lt;='Data Input 1'!$L$19,'Data Input 1'!$N$19,IF($Q120&lt;='Data Input 1'!$L$20,'Data Input 1'!$N$20,IF($Q120&lt;='Data Input 1'!$L$21,'Data Input 1'!$N$21,MAX('Data Input 1'!$N$18:$N$22))))))</f>
        <v>2</v>
      </c>
      <c r="Z120" s="235">
        <f t="shared" si="16"/>
        <v>199</v>
      </c>
      <c r="AA120" s="234">
        <f>IF($Q120&lt;='Data Input 1'!$J$18,0,IF($Q120&lt;='Data Input 1'!$L$18,'Data Input 1'!$O$18,IF($Q120&lt;='Data Input 1'!$L$19,'Data Input 1'!$O$19,IF($Q120&lt;='Data Input 1'!$L$20,'Data Input 1'!$O$20,IF($Q120&lt;='Data Input 1'!$L$21,'Data Input 1'!$O$21,MAX('Data Input 1'!$O$18:$O$22))))))</f>
        <v>6</v>
      </c>
      <c r="AB120" s="235">
        <f t="shared" si="17"/>
        <v>383.75</v>
      </c>
      <c r="AC120" s="236">
        <f t="shared" si="13"/>
        <v>0.92839195979899503</v>
      </c>
    </row>
    <row r="121" spans="17:29" x14ac:dyDescent="0.2">
      <c r="Q121" s="233">
        <v>87000</v>
      </c>
      <c r="R121" s="234">
        <f>IF($Q121&lt;='Data Input 1'!$J$10,0,IF($Q121&lt;='Data Input 1'!$L$10,'Data Input 1'!$N$10,IF($Q121&lt;='Data Input 1'!$L$11,'Data Input 1'!$N$11,IF($Q121&lt;='Data Input 1'!$L$12,'Data Input 1'!$N$12,IF($Q121&lt;='Data Input 1'!$L$13,'Data Input 1'!$N$13,MAX('Data Input 1'!$N$10:$N$14))))))</f>
        <v>2</v>
      </c>
      <c r="S121" s="235">
        <f t="shared" si="14"/>
        <v>199</v>
      </c>
      <c r="T121" s="234">
        <f>IF($Q121&lt;='Data Input 1'!$J$10,0,IF($Q121&lt;='Data Input 1'!$L$10,'Data Input 1'!$O$10,IF($Q121&lt;='Data Input 1'!$L$11,'Data Input 1'!$O$11,IF($Q121&lt;='Data Input 1'!$L$12,'Data Input 1'!$O$12,IF($Q121&lt;='Data Input 1'!$L$13,'Data Input 1'!$O$13,MAX('Data Input 1'!$O$10:$O$14))))))</f>
        <v>5.25</v>
      </c>
      <c r="U121" s="235">
        <f t="shared" si="15"/>
        <v>350.5</v>
      </c>
      <c r="V121" s="236">
        <f t="shared" si="12"/>
        <v>0.7613065326633166</v>
      </c>
      <c r="X121" s="233">
        <v>87000</v>
      </c>
      <c r="Y121" s="234">
        <f>IF($Q121&lt;='Data Input 1'!$J$18,0,IF($Q121&lt;='Data Input 1'!$L$18,'Data Input 1'!$N$18,IF($Q121&lt;='Data Input 1'!$L$19,'Data Input 1'!$N$19,IF($Q121&lt;='Data Input 1'!$L$20,'Data Input 1'!$N$20,IF($Q121&lt;='Data Input 1'!$L$21,'Data Input 1'!$N$21,MAX('Data Input 1'!$N$18:$N$22))))))</f>
        <v>2</v>
      </c>
      <c r="Z121" s="235">
        <f t="shared" si="16"/>
        <v>201</v>
      </c>
      <c r="AA121" s="234">
        <f>IF($Q121&lt;='Data Input 1'!$J$18,0,IF($Q121&lt;='Data Input 1'!$L$18,'Data Input 1'!$O$18,IF($Q121&lt;='Data Input 1'!$L$19,'Data Input 1'!$O$19,IF($Q121&lt;='Data Input 1'!$L$20,'Data Input 1'!$O$20,IF($Q121&lt;='Data Input 1'!$L$21,'Data Input 1'!$O$21,MAX('Data Input 1'!$O$18:$O$22))))))</f>
        <v>6</v>
      </c>
      <c r="AB121" s="235">
        <f t="shared" si="17"/>
        <v>389.75</v>
      </c>
      <c r="AC121" s="236">
        <f t="shared" si="13"/>
        <v>0.93905472636815923</v>
      </c>
    </row>
    <row r="122" spans="17:29" x14ac:dyDescent="0.2">
      <c r="Q122" s="233">
        <v>88000</v>
      </c>
      <c r="R122" s="234">
        <f>IF($Q122&lt;='Data Input 1'!$J$10,0,IF($Q122&lt;='Data Input 1'!$L$10,'Data Input 1'!$N$10,IF($Q122&lt;='Data Input 1'!$L$11,'Data Input 1'!$N$11,IF($Q122&lt;='Data Input 1'!$L$12,'Data Input 1'!$N$12,IF($Q122&lt;='Data Input 1'!$L$13,'Data Input 1'!$N$13,MAX('Data Input 1'!$N$10:$N$14))))))</f>
        <v>2</v>
      </c>
      <c r="S122" s="235">
        <f t="shared" si="14"/>
        <v>201</v>
      </c>
      <c r="T122" s="234">
        <f>IF($Q122&lt;='Data Input 1'!$J$10,0,IF($Q122&lt;='Data Input 1'!$L$10,'Data Input 1'!$O$10,IF($Q122&lt;='Data Input 1'!$L$11,'Data Input 1'!$O$11,IF($Q122&lt;='Data Input 1'!$L$12,'Data Input 1'!$O$12,IF($Q122&lt;='Data Input 1'!$L$13,'Data Input 1'!$O$13,MAX('Data Input 1'!$O$10:$O$14))))))</f>
        <v>5.25</v>
      </c>
      <c r="U122" s="235">
        <f t="shared" si="15"/>
        <v>355.75</v>
      </c>
      <c r="V122" s="236">
        <f t="shared" si="12"/>
        <v>0.76990049751243783</v>
      </c>
      <c r="X122" s="233">
        <v>88000</v>
      </c>
      <c r="Y122" s="234">
        <f>IF($Q122&lt;='Data Input 1'!$J$18,0,IF($Q122&lt;='Data Input 1'!$L$18,'Data Input 1'!$N$18,IF($Q122&lt;='Data Input 1'!$L$19,'Data Input 1'!$N$19,IF($Q122&lt;='Data Input 1'!$L$20,'Data Input 1'!$N$20,IF($Q122&lt;='Data Input 1'!$L$21,'Data Input 1'!$N$21,MAX('Data Input 1'!$N$18:$N$22))))))</f>
        <v>2</v>
      </c>
      <c r="Z122" s="235">
        <f t="shared" si="16"/>
        <v>203</v>
      </c>
      <c r="AA122" s="234">
        <f>IF($Q122&lt;='Data Input 1'!$J$18,0,IF($Q122&lt;='Data Input 1'!$L$18,'Data Input 1'!$O$18,IF($Q122&lt;='Data Input 1'!$L$19,'Data Input 1'!$O$19,IF($Q122&lt;='Data Input 1'!$L$20,'Data Input 1'!$O$20,IF($Q122&lt;='Data Input 1'!$L$21,'Data Input 1'!$O$21,MAX('Data Input 1'!$O$18:$O$22))))))</f>
        <v>6</v>
      </c>
      <c r="AB122" s="235">
        <f t="shared" si="17"/>
        <v>395.75</v>
      </c>
      <c r="AC122" s="236">
        <f t="shared" si="13"/>
        <v>0.94950738916256161</v>
      </c>
    </row>
    <row r="123" spans="17:29" x14ac:dyDescent="0.2">
      <c r="Q123" s="233">
        <v>89000</v>
      </c>
      <c r="R123" s="234">
        <f>IF($Q123&lt;='Data Input 1'!$J$10,0,IF($Q123&lt;='Data Input 1'!$L$10,'Data Input 1'!$N$10,IF($Q123&lt;='Data Input 1'!$L$11,'Data Input 1'!$N$11,IF($Q123&lt;='Data Input 1'!$L$12,'Data Input 1'!$N$12,IF($Q123&lt;='Data Input 1'!$L$13,'Data Input 1'!$N$13,MAX('Data Input 1'!$N$10:$N$14))))))</f>
        <v>2</v>
      </c>
      <c r="S123" s="235">
        <f t="shared" si="14"/>
        <v>203</v>
      </c>
      <c r="T123" s="234">
        <f>IF($Q123&lt;='Data Input 1'!$J$10,0,IF($Q123&lt;='Data Input 1'!$L$10,'Data Input 1'!$O$10,IF($Q123&lt;='Data Input 1'!$L$11,'Data Input 1'!$O$11,IF($Q123&lt;='Data Input 1'!$L$12,'Data Input 1'!$O$12,IF($Q123&lt;='Data Input 1'!$L$13,'Data Input 1'!$O$13,MAX('Data Input 1'!$O$10:$O$14))))))</f>
        <v>5.25</v>
      </c>
      <c r="U123" s="235">
        <f t="shared" si="15"/>
        <v>361</v>
      </c>
      <c r="V123" s="236">
        <f t="shared" si="12"/>
        <v>0.77832512315270941</v>
      </c>
      <c r="X123" s="233">
        <v>89000</v>
      </c>
      <c r="Y123" s="234">
        <f>IF($Q123&lt;='Data Input 1'!$J$18,0,IF($Q123&lt;='Data Input 1'!$L$18,'Data Input 1'!$N$18,IF($Q123&lt;='Data Input 1'!$L$19,'Data Input 1'!$N$19,IF($Q123&lt;='Data Input 1'!$L$20,'Data Input 1'!$N$20,IF($Q123&lt;='Data Input 1'!$L$21,'Data Input 1'!$N$21,MAX('Data Input 1'!$N$18:$N$22))))))</f>
        <v>2</v>
      </c>
      <c r="Z123" s="235">
        <f t="shared" si="16"/>
        <v>205</v>
      </c>
      <c r="AA123" s="234">
        <f>IF($Q123&lt;='Data Input 1'!$J$18,0,IF($Q123&lt;='Data Input 1'!$L$18,'Data Input 1'!$O$18,IF($Q123&lt;='Data Input 1'!$L$19,'Data Input 1'!$O$19,IF($Q123&lt;='Data Input 1'!$L$20,'Data Input 1'!$O$20,IF($Q123&lt;='Data Input 1'!$L$21,'Data Input 1'!$O$21,MAX('Data Input 1'!$O$18:$O$22))))))</f>
        <v>6</v>
      </c>
      <c r="AB123" s="235">
        <f t="shared" si="17"/>
        <v>401.75</v>
      </c>
      <c r="AC123" s="236">
        <f t="shared" si="13"/>
        <v>0.95975609756097557</v>
      </c>
    </row>
    <row r="124" spans="17:29" x14ac:dyDescent="0.2">
      <c r="Q124" s="233">
        <v>90000</v>
      </c>
      <c r="R124" s="234">
        <f>IF($Q124&lt;='Data Input 1'!$J$10,0,IF($Q124&lt;='Data Input 1'!$L$10,'Data Input 1'!$N$10,IF($Q124&lt;='Data Input 1'!$L$11,'Data Input 1'!$N$11,IF($Q124&lt;='Data Input 1'!$L$12,'Data Input 1'!$N$12,IF($Q124&lt;='Data Input 1'!$L$13,'Data Input 1'!$N$13,MAX('Data Input 1'!$N$10:$N$14))))))</f>
        <v>2</v>
      </c>
      <c r="S124" s="235">
        <f t="shared" si="14"/>
        <v>205</v>
      </c>
      <c r="T124" s="234">
        <f>IF($Q124&lt;='Data Input 1'!$J$10,0,IF($Q124&lt;='Data Input 1'!$L$10,'Data Input 1'!$O$10,IF($Q124&lt;='Data Input 1'!$L$11,'Data Input 1'!$O$11,IF($Q124&lt;='Data Input 1'!$L$12,'Data Input 1'!$O$12,IF($Q124&lt;='Data Input 1'!$L$13,'Data Input 1'!$O$13,MAX('Data Input 1'!$O$10:$O$14))))))</f>
        <v>5.25</v>
      </c>
      <c r="U124" s="235">
        <f t="shared" si="15"/>
        <v>366.25</v>
      </c>
      <c r="V124" s="236">
        <f t="shared" si="12"/>
        <v>0.78658536585365857</v>
      </c>
      <c r="X124" s="233">
        <v>90000</v>
      </c>
      <c r="Y124" s="234">
        <f>IF($Q124&lt;='Data Input 1'!$J$18,0,IF($Q124&lt;='Data Input 1'!$L$18,'Data Input 1'!$N$18,IF($Q124&lt;='Data Input 1'!$L$19,'Data Input 1'!$N$19,IF($Q124&lt;='Data Input 1'!$L$20,'Data Input 1'!$N$20,IF($Q124&lt;='Data Input 1'!$L$21,'Data Input 1'!$N$21,MAX('Data Input 1'!$N$18:$N$22))))))</f>
        <v>2</v>
      </c>
      <c r="Z124" s="235">
        <f t="shared" si="16"/>
        <v>207</v>
      </c>
      <c r="AA124" s="234">
        <f>IF($Q124&lt;='Data Input 1'!$J$18,0,IF($Q124&lt;='Data Input 1'!$L$18,'Data Input 1'!$O$18,IF($Q124&lt;='Data Input 1'!$L$19,'Data Input 1'!$O$19,IF($Q124&lt;='Data Input 1'!$L$20,'Data Input 1'!$O$20,IF($Q124&lt;='Data Input 1'!$L$21,'Data Input 1'!$O$21,MAX('Data Input 1'!$O$18:$O$22))))))</f>
        <v>6</v>
      </c>
      <c r="AB124" s="235">
        <f t="shared" si="17"/>
        <v>407.75</v>
      </c>
      <c r="AC124" s="236">
        <f t="shared" si="13"/>
        <v>0.96980676328502413</v>
      </c>
    </row>
    <row r="125" spans="17:29" x14ac:dyDescent="0.2">
      <c r="Q125" s="233">
        <v>91000</v>
      </c>
      <c r="R125" s="234">
        <f>IF($Q125&lt;='Data Input 1'!$J$10,0,IF($Q125&lt;='Data Input 1'!$L$10,'Data Input 1'!$N$10,IF($Q125&lt;='Data Input 1'!$L$11,'Data Input 1'!$N$11,IF($Q125&lt;='Data Input 1'!$L$12,'Data Input 1'!$N$12,IF($Q125&lt;='Data Input 1'!$L$13,'Data Input 1'!$N$13,MAX('Data Input 1'!$N$10:$N$14))))))</f>
        <v>2</v>
      </c>
      <c r="S125" s="235">
        <f t="shared" si="14"/>
        <v>207</v>
      </c>
      <c r="T125" s="234">
        <f>IF($Q125&lt;='Data Input 1'!$J$10,0,IF($Q125&lt;='Data Input 1'!$L$10,'Data Input 1'!$O$10,IF($Q125&lt;='Data Input 1'!$L$11,'Data Input 1'!$O$11,IF($Q125&lt;='Data Input 1'!$L$12,'Data Input 1'!$O$12,IF($Q125&lt;='Data Input 1'!$L$13,'Data Input 1'!$O$13,MAX('Data Input 1'!$O$10:$O$14))))))</f>
        <v>5.25</v>
      </c>
      <c r="U125" s="235">
        <f t="shared" si="15"/>
        <v>371.5</v>
      </c>
      <c r="V125" s="236">
        <f t="shared" si="12"/>
        <v>0.79468599033816423</v>
      </c>
      <c r="X125" s="233">
        <v>91000</v>
      </c>
      <c r="Y125" s="234">
        <f>IF($Q125&lt;='Data Input 1'!$J$18,0,IF($Q125&lt;='Data Input 1'!$L$18,'Data Input 1'!$N$18,IF($Q125&lt;='Data Input 1'!$L$19,'Data Input 1'!$N$19,IF($Q125&lt;='Data Input 1'!$L$20,'Data Input 1'!$N$20,IF($Q125&lt;='Data Input 1'!$L$21,'Data Input 1'!$N$21,MAX('Data Input 1'!$N$18:$N$22))))))</f>
        <v>2</v>
      </c>
      <c r="Z125" s="235">
        <f t="shared" si="16"/>
        <v>209</v>
      </c>
      <c r="AA125" s="234">
        <f>IF($Q125&lt;='Data Input 1'!$J$18,0,IF($Q125&lt;='Data Input 1'!$L$18,'Data Input 1'!$O$18,IF($Q125&lt;='Data Input 1'!$L$19,'Data Input 1'!$O$19,IF($Q125&lt;='Data Input 1'!$L$20,'Data Input 1'!$O$20,IF($Q125&lt;='Data Input 1'!$L$21,'Data Input 1'!$O$21,MAX('Data Input 1'!$O$18:$O$22))))))</f>
        <v>6</v>
      </c>
      <c r="AB125" s="235">
        <f t="shared" si="17"/>
        <v>413.75</v>
      </c>
      <c r="AC125" s="236">
        <f t="shared" si="13"/>
        <v>0.97966507177033491</v>
      </c>
    </row>
    <row r="126" spans="17:29" x14ac:dyDescent="0.2">
      <c r="Q126" s="233">
        <v>92000</v>
      </c>
      <c r="R126" s="234">
        <f>IF($Q126&lt;='Data Input 1'!$J$10,0,IF($Q126&lt;='Data Input 1'!$L$10,'Data Input 1'!$N$10,IF($Q126&lt;='Data Input 1'!$L$11,'Data Input 1'!$N$11,IF($Q126&lt;='Data Input 1'!$L$12,'Data Input 1'!$N$12,IF($Q126&lt;='Data Input 1'!$L$13,'Data Input 1'!$N$13,MAX('Data Input 1'!$N$10:$N$14))))))</f>
        <v>2</v>
      </c>
      <c r="S126" s="235">
        <f t="shared" si="14"/>
        <v>209</v>
      </c>
      <c r="T126" s="234">
        <f>IF($Q126&lt;='Data Input 1'!$J$10,0,IF($Q126&lt;='Data Input 1'!$L$10,'Data Input 1'!$O$10,IF($Q126&lt;='Data Input 1'!$L$11,'Data Input 1'!$O$11,IF($Q126&lt;='Data Input 1'!$L$12,'Data Input 1'!$O$12,IF($Q126&lt;='Data Input 1'!$L$13,'Data Input 1'!$O$13,MAX('Data Input 1'!$O$10:$O$14))))))</f>
        <v>5.25</v>
      </c>
      <c r="U126" s="235">
        <f t="shared" si="15"/>
        <v>376.75</v>
      </c>
      <c r="V126" s="236">
        <f t="shared" si="12"/>
        <v>0.80263157894736847</v>
      </c>
      <c r="X126" s="233">
        <v>92000</v>
      </c>
      <c r="Y126" s="234">
        <f>IF($Q126&lt;='Data Input 1'!$J$18,0,IF($Q126&lt;='Data Input 1'!$L$18,'Data Input 1'!$N$18,IF($Q126&lt;='Data Input 1'!$L$19,'Data Input 1'!$N$19,IF($Q126&lt;='Data Input 1'!$L$20,'Data Input 1'!$N$20,IF($Q126&lt;='Data Input 1'!$L$21,'Data Input 1'!$N$21,MAX('Data Input 1'!$N$18:$N$22))))))</f>
        <v>2</v>
      </c>
      <c r="Z126" s="235">
        <f t="shared" si="16"/>
        <v>211</v>
      </c>
      <c r="AA126" s="234">
        <f>IF($Q126&lt;='Data Input 1'!$J$18,0,IF($Q126&lt;='Data Input 1'!$L$18,'Data Input 1'!$O$18,IF($Q126&lt;='Data Input 1'!$L$19,'Data Input 1'!$O$19,IF($Q126&lt;='Data Input 1'!$L$20,'Data Input 1'!$O$20,IF($Q126&lt;='Data Input 1'!$L$21,'Data Input 1'!$O$21,MAX('Data Input 1'!$O$18:$O$22))))))</f>
        <v>6</v>
      </c>
      <c r="AB126" s="235">
        <f t="shared" si="17"/>
        <v>419.75</v>
      </c>
      <c r="AC126" s="236">
        <f t="shared" si="13"/>
        <v>0.98933649289099523</v>
      </c>
    </row>
    <row r="127" spans="17:29" x14ac:dyDescent="0.2">
      <c r="Q127" s="233">
        <v>93000</v>
      </c>
      <c r="R127" s="234">
        <f>IF($Q127&lt;='Data Input 1'!$J$10,0,IF($Q127&lt;='Data Input 1'!$L$10,'Data Input 1'!$N$10,IF($Q127&lt;='Data Input 1'!$L$11,'Data Input 1'!$N$11,IF($Q127&lt;='Data Input 1'!$L$12,'Data Input 1'!$N$12,IF($Q127&lt;='Data Input 1'!$L$13,'Data Input 1'!$N$13,MAX('Data Input 1'!$N$10:$N$14))))))</f>
        <v>2</v>
      </c>
      <c r="S127" s="235">
        <f t="shared" si="14"/>
        <v>211</v>
      </c>
      <c r="T127" s="234">
        <f>IF($Q127&lt;='Data Input 1'!$J$10,0,IF($Q127&lt;='Data Input 1'!$L$10,'Data Input 1'!$O$10,IF($Q127&lt;='Data Input 1'!$L$11,'Data Input 1'!$O$11,IF($Q127&lt;='Data Input 1'!$L$12,'Data Input 1'!$O$12,IF($Q127&lt;='Data Input 1'!$L$13,'Data Input 1'!$O$13,MAX('Data Input 1'!$O$10:$O$14))))))</f>
        <v>5.25</v>
      </c>
      <c r="U127" s="235">
        <f t="shared" si="15"/>
        <v>382</v>
      </c>
      <c r="V127" s="236">
        <f t="shared" si="12"/>
        <v>0.81042654028436023</v>
      </c>
      <c r="X127" s="233">
        <v>93000</v>
      </c>
      <c r="Y127" s="234">
        <f>IF($Q127&lt;='Data Input 1'!$J$18,0,IF($Q127&lt;='Data Input 1'!$L$18,'Data Input 1'!$N$18,IF($Q127&lt;='Data Input 1'!$L$19,'Data Input 1'!$N$19,IF($Q127&lt;='Data Input 1'!$L$20,'Data Input 1'!$N$20,IF($Q127&lt;='Data Input 1'!$L$21,'Data Input 1'!$N$21,MAX('Data Input 1'!$N$18:$N$22))))))</f>
        <v>2</v>
      </c>
      <c r="Z127" s="235">
        <f t="shared" si="16"/>
        <v>213</v>
      </c>
      <c r="AA127" s="234">
        <f>IF($Q127&lt;='Data Input 1'!$J$18,0,IF($Q127&lt;='Data Input 1'!$L$18,'Data Input 1'!$O$18,IF($Q127&lt;='Data Input 1'!$L$19,'Data Input 1'!$O$19,IF($Q127&lt;='Data Input 1'!$L$20,'Data Input 1'!$O$20,IF($Q127&lt;='Data Input 1'!$L$21,'Data Input 1'!$O$21,MAX('Data Input 1'!$O$18:$O$22))))))</f>
        <v>6</v>
      </c>
      <c r="AB127" s="235">
        <f t="shared" si="17"/>
        <v>425.75</v>
      </c>
      <c r="AC127" s="236">
        <f t="shared" si="13"/>
        <v>0.99882629107981225</v>
      </c>
    </row>
    <row r="128" spans="17:29" x14ac:dyDescent="0.2">
      <c r="Q128" s="233">
        <v>94000</v>
      </c>
      <c r="R128" s="234">
        <f>IF($Q128&lt;='Data Input 1'!$J$10,0,IF($Q128&lt;='Data Input 1'!$L$10,'Data Input 1'!$N$10,IF($Q128&lt;='Data Input 1'!$L$11,'Data Input 1'!$N$11,IF($Q128&lt;='Data Input 1'!$L$12,'Data Input 1'!$N$12,IF($Q128&lt;='Data Input 1'!$L$13,'Data Input 1'!$N$13,MAX('Data Input 1'!$N$10:$N$14))))))</f>
        <v>2</v>
      </c>
      <c r="S128" s="235">
        <f t="shared" si="14"/>
        <v>213</v>
      </c>
      <c r="T128" s="234">
        <f>IF($Q128&lt;='Data Input 1'!$J$10,0,IF($Q128&lt;='Data Input 1'!$L$10,'Data Input 1'!$O$10,IF($Q128&lt;='Data Input 1'!$L$11,'Data Input 1'!$O$11,IF($Q128&lt;='Data Input 1'!$L$12,'Data Input 1'!$O$12,IF($Q128&lt;='Data Input 1'!$L$13,'Data Input 1'!$O$13,MAX('Data Input 1'!$O$10:$O$14))))))</f>
        <v>5.25</v>
      </c>
      <c r="U128" s="235">
        <f t="shared" si="15"/>
        <v>387.25</v>
      </c>
      <c r="V128" s="236">
        <f t="shared" si="12"/>
        <v>0.818075117370892</v>
      </c>
      <c r="X128" s="233">
        <v>94000</v>
      </c>
      <c r="Y128" s="234">
        <f>IF($Q128&lt;='Data Input 1'!$J$18,0,IF($Q128&lt;='Data Input 1'!$L$18,'Data Input 1'!$N$18,IF($Q128&lt;='Data Input 1'!$L$19,'Data Input 1'!$N$19,IF($Q128&lt;='Data Input 1'!$L$20,'Data Input 1'!$N$20,IF($Q128&lt;='Data Input 1'!$L$21,'Data Input 1'!$N$21,MAX('Data Input 1'!$N$18:$N$22))))))</f>
        <v>2</v>
      </c>
      <c r="Z128" s="235">
        <f t="shared" si="16"/>
        <v>215</v>
      </c>
      <c r="AA128" s="234">
        <f>IF($Q128&lt;='Data Input 1'!$J$18,0,IF($Q128&lt;='Data Input 1'!$L$18,'Data Input 1'!$O$18,IF($Q128&lt;='Data Input 1'!$L$19,'Data Input 1'!$O$19,IF($Q128&lt;='Data Input 1'!$L$20,'Data Input 1'!$O$20,IF($Q128&lt;='Data Input 1'!$L$21,'Data Input 1'!$O$21,MAX('Data Input 1'!$O$18:$O$22))))))</f>
        <v>6</v>
      </c>
      <c r="AB128" s="235">
        <f t="shared" si="17"/>
        <v>431.75</v>
      </c>
      <c r="AC128" s="236">
        <f t="shared" si="13"/>
        <v>1.008139534883721</v>
      </c>
    </row>
    <row r="129" spans="1:29" x14ac:dyDescent="0.2">
      <c r="Q129" s="233">
        <v>95000</v>
      </c>
      <c r="R129" s="234">
        <f>IF($Q129&lt;='Data Input 1'!$J$10,0,IF($Q129&lt;='Data Input 1'!$L$10,'Data Input 1'!$N$10,IF($Q129&lt;='Data Input 1'!$L$11,'Data Input 1'!$N$11,IF($Q129&lt;='Data Input 1'!$L$12,'Data Input 1'!$N$12,IF($Q129&lt;='Data Input 1'!$L$13,'Data Input 1'!$N$13,MAX('Data Input 1'!$N$10:$N$14))))))</f>
        <v>2</v>
      </c>
      <c r="S129" s="235">
        <f t="shared" si="14"/>
        <v>215</v>
      </c>
      <c r="T129" s="234">
        <f>IF($Q129&lt;='Data Input 1'!$J$10,0,IF($Q129&lt;='Data Input 1'!$L$10,'Data Input 1'!$O$10,IF($Q129&lt;='Data Input 1'!$L$11,'Data Input 1'!$O$11,IF($Q129&lt;='Data Input 1'!$L$12,'Data Input 1'!$O$12,IF($Q129&lt;='Data Input 1'!$L$13,'Data Input 1'!$O$13,MAX('Data Input 1'!$O$10:$O$14))))))</f>
        <v>5.25</v>
      </c>
      <c r="U129" s="235">
        <f t="shared" si="15"/>
        <v>392.5</v>
      </c>
      <c r="V129" s="236">
        <f t="shared" si="12"/>
        <v>0.82558139534883723</v>
      </c>
      <c r="X129" s="233">
        <v>95000</v>
      </c>
      <c r="Y129" s="234">
        <f>IF($Q129&lt;='Data Input 1'!$J$18,0,IF($Q129&lt;='Data Input 1'!$L$18,'Data Input 1'!$N$18,IF($Q129&lt;='Data Input 1'!$L$19,'Data Input 1'!$N$19,IF($Q129&lt;='Data Input 1'!$L$20,'Data Input 1'!$N$20,IF($Q129&lt;='Data Input 1'!$L$21,'Data Input 1'!$N$21,MAX('Data Input 1'!$N$18:$N$22))))))</f>
        <v>2</v>
      </c>
      <c r="Z129" s="235">
        <f t="shared" si="16"/>
        <v>217</v>
      </c>
      <c r="AA129" s="234">
        <f>IF($Q129&lt;='Data Input 1'!$J$18,0,IF($Q129&lt;='Data Input 1'!$L$18,'Data Input 1'!$O$18,IF($Q129&lt;='Data Input 1'!$L$19,'Data Input 1'!$O$19,IF($Q129&lt;='Data Input 1'!$L$20,'Data Input 1'!$O$20,IF($Q129&lt;='Data Input 1'!$L$21,'Data Input 1'!$O$21,MAX('Data Input 1'!$O$18:$O$22))))))</f>
        <v>6</v>
      </c>
      <c r="AB129" s="235">
        <f t="shared" si="17"/>
        <v>437.75</v>
      </c>
      <c r="AC129" s="236">
        <f t="shared" si="13"/>
        <v>1.0172811059907834</v>
      </c>
    </row>
    <row r="130" spans="1:29" x14ac:dyDescent="0.2">
      <c r="Q130" s="233">
        <v>96000</v>
      </c>
      <c r="R130" s="234">
        <f>IF($Q130&lt;='Data Input 1'!$J$10,0,IF($Q130&lt;='Data Input 1'!$L$10,'Data Input 1'!$N$10,IF($Q130&lt;='Data Input 1'!$L$11,'Data Input 1'!$N$11,IF($Q130&lt;='Data Input 1'!$L$12,'Data Input 1'!$N$12,IF($Q130&lt;='Data Input 1'!$L$13,'Data Input 1'!$N$13,MAX('Data Input 1'!$N$10:$N$14))))))</f>
        <v>2</v>
      </c>
      <c r="S130" s="235">
        <f t="shared" si="14"/>
        <v>217</v>
      </c>
      <c r="T130" s="234">
        <f>IF($Q130&lt;='Data Input 1'!$J$10,0,IF($Q130&lt;='Data Input 1'!$L$10,'Data Input 1'!$O$10,IF($Q130&lt;='Data Input 1'!$L$11,'Data Input 1'!$O$11,IF($Q130&lt;='Data Input 1'!$L$12,'Data Input 1'!$O$12,IF($Q130&lt;='Data Input 1'!$L$13,'Data Input 1'!$O$13,MAX('Data Input 1'!$O$10:$O$14))))))</f>
        <v>5.25</v>
      </c>
      <c r="U130" s="235">
        <f t="shared" si="15"/>
        <v>397.75</v>
      </c>
      <c r="V130" s="236">
        <f t="shared" si="12"/>
        <v>0.83294930875576034</v>
      </c>
      <c r="X130" s="233">
        <v>96000</v>
      </c>
      <c r="Y130" s="234">
        <f>IF($Q130&lt;='Data Input 1'!$J$18,0,IF($Q130&lt;='Data Input 1'!$L$18,'Data Input 1'!$N$18,IF($Q130&lt;='Data Input 1'!$L$19,'Data Input 1'!$N$19,IF($Q130&lt;='Data Input 1'!$L$20,'Data Input 1'!$N$20,IF($Q130&lt;='Data Input 1'!$L$21,'Data Input 1'!$N$21,MAX('Data Input 1'!$N$18:$N$22))))))</f>
        <v>2</v>
      </c>
      <c r="Z130" s="235">
        <f t="shared" si="16"/>
        <v>219</v>
      </c>
      <c r="AA130" s="234">
        <f>IF($Q130&lt;='Data Input 1'!$J$18,0,IF($Q130&lt;='Data Input 1'!$L$18,'Data Input 1'!$O$18,IF($Q130&lt;='Data Input 1'!$L$19,'Data Input 1'!$O$19,IF($Q130&lt;='Data Input 1'!$L$20,'Data Input 1'!$O$20,IF($Q130&lt;='Data Input 1'!$L$21,'Data Input 1'!$O$21,MAX('Data Input 1'!$O$18:$O$22))))))</f>
        <v>6</v>
      </c>
      <c r="AB130" s="235">
        <f t="shared" si="17"/>
        <v>443.75</v>
      </c>
      <c r="AC130" s="236">
        <f t="shared" si="13"/>
        <v>1.0262557077625571</v>
      </c>
    </row>
    <row r="131" spans="1:29" x14ac:dyDescent="0.2">
      <c r="Q131" s="233">
        <v>97000</v>
      </c>
      <c r="R131" s="234">
        <f>IF($Q131&lt;='Data Input 1'!$J$10,0,IF($Q131&lt;='Data Input 1'!$L$10,'Data Input 1'!$N$10,IF($Q131&lt;='Data Input 1'!$L$11,'Data Input 1'!$N$11,IF($Q131&lt;='Data Input 1'!$L$12,'Data Input 1'!$N$12,IF($Q131&lt;='Data Input 1'!$L$13,'Data Input 1'!$N$13,MAX('Data Input 1'!$N$10:$N$14))))))</f>
        <v>2</v>
      </c>
      <c r="S131" s="235">
        <f t="shared" si="14"/>
        <v>219</v>
      </c>
      <c r="T131" s="234">
        <f>IF($Q131&lt;='Data Input 1'!$J$10,0,IF($Q131&lt;='Data Input 1'!$L$10,'Data Input 1'!$O$10,IF($Q131&lt;='Data Input 1'!$L$11,'Data Input 1'!$O$11,IF($Q131&lt;='Data Input 1'!$L$12,'Data Input 1'!$O$12,IF($Q131&lt;='Data Input 1'!$L$13,'Data Input 1'!$O$13,MAX('Data Input 1'!$O$10:$O$14))))))</f>
        <v>5.25</v>
      </c>
      <c r="U131" s="235">
        <f t="shared" si="15"/>
        <v>403</v>
      </c>
      <c r="V131" s="236">
        <f t="shared" si="12"/>
        <v>0.84018264840182644</v>
      </c>
      <c r="X131" s="233">
        <v>97000</v>
      </c>
      <c r="Y131" s="234">
        <f>IF($Q131&lt;='Data Input 1'!$J$18,0,IF($Q131&lt;='Data Input 1'!$L$18,'Data Input 1'!$N$18,IF($Q131&lt;='Data Input 1'!$L$19,'Data Input 1'!$N$19,IF($Q131&lt;='Data Input 1'!$L$20,'Data Input 1'!$N$20,IF($Q131&lt;='Data Input 1'!$L$21,'Data Input 1'!$N$21,MAX('Data Input 1'!$N$18:$N$22))))))</f>
        <v>2</v>
      </c>
      <c r="Z131" s="235">
        <f t="shared" si="16"/>
        <v>221</v>
      </c>
      <c r="AA131" s="234">
        <f>IF($Q131&lt;='Data Input 1'!$J$18,0,IF($Q131&lt;='Data Input 1'!$L$18,'Data Input 1'!$O$18,IF($Q131&lt;='Data Input 1'!$L$19,'Data Input 1'!$O$19,IF($Q131&lt;='Data Input 1'!$L$20,'Data Input 1'!$O$20,IF($Q131&lt;='Data Input 1'!$L$21,'Data Input 1'!$O$21,MAX('Data Input 1'!$O$18:$O$22))))))</f>
        <v>6</v>
      </c>
      <c r="AB131" s="235">
        <f t="shared" si="17"/>
        <v>449.75</v>
      </c>
      <c r="AC131" s="236">
        <f t="shared" si="13"/>
        <v>1.0350678733031675</v>
      </c>
    </row>
    <row r="132" spans="1:29" x14ac:dyDescent="0.2">
      <c r="Q132" s="233">
        <v>98000</v>
      </c>
      <c r="R132" s="234">
        <f>IF($Q132&lt;='Data Input 1'!$J$10,0,IF($Q132&lt;='Data Input 1'!$L$10,'Data Input 1'!$N$10,IF($Q132&lt;='Data Input 1'!$L$11,'Data Input 1'!$N$11,IF($Q132&lt;='Data Input 1'!$L$12,'Data Input 1'!$N$12,IF($Q132&lt;='Data Input 1'!$L$13,'Data Input 1'!$N$13,MAX('Data Input 1'!$N$10:$N$14))))))</f>
        <v>2</v>
      </c>
      <c r="S132" s="235">
        <f t="shared" si="14"/>
        <v>221</v>
      </c>
      <c r="T132" s="234">
        <f>IF($Q132&lt;='Data Input 1'!$J$10,0,IF($Q132&lt;='Data Input 1'!$L$10,'Data Input 1'!$O$10,IF($Q132&lt;='Data Input 1'!$L$11,'Data Input 1'!$O$11,IF($Q132&lt;='Data Input 1'!$L$12,'Data Input 1'!$O$12,IF($Q132&lt;='Data Input 1'!$L$13,'Data Input 1'!$O$13,MAX('Data Input 1'!$O$10:$O$14))))))</f>
        <v>5.25</v>
      </c>
      <c r="U132" s="235">
        <f t="shared" si="15"/>
        <v>408.25</v>
      </c>
      <c r="V132" s="236">
        <f t="shared" si="12"/>
        <v>0.84728506787330315</v>
      </c>
      <c r="X132" s="233">
        <v>98000</v>
      </c>
      <c r="Y132" s="234">
        <f>IF($Q132&lt;='Data Input 1'!$J$18,0,IF($Q132&lt;='Data Input 1'!$L$18,'Data Input 1'!$N$18,IF($Q132&lt;='Data Input 1'!$L$19,'Data Input 1'!$N$19,IF($Q132&lt;='Data Input 1'!$L$20,'Data Input 1'!$N$20,IF($Q132&lt;='Data Input 1'!$L$21,'Data Input 1'!$N$21,MAX('Data Input 1'!$N$18:$N$22))))))</f>
        <v>2</v>
      </c>
      <c r="Z132" s="235">
        <f t="shared" si="16"/>
        <v>223</v>
      </c>
      <c r="AA132" s="234">
        <f>IF($Q132&lt;='Data Input 1'!$J$18,0,IF($Q132&lt;='Data Input 1'!$L$18,'Data Input 1'!$O$18,IF($Q132&lt;='Data Input 1'!$L$19,'Data Input 1'!$O$19,IF($Q132&lt;='Data Input 1'!$L$20,'Data Input 1'!$O$20,IF($Q132&lt;='Data Input 1'!$L$21,'Data Input 1'!$O$21,MAX('Data Input 1'!$O$18:$O$22))))))</f>
        <v>6</v>
      </c>
      <c r="AB132" s="235">
        <f t="shared" si="17"/>
        <v>455.75</v>
      </c>
      <c r="AC132" s="236">
        <f t="shared" si="13"/>
        <v>1.0437219730941705</v>
      </c>
    </row>
    <row r="133" spans="1:29" x14ac:dyDescent="0.2">
      <c r="Q133" s="233">
        <v>99000</v>
      </c>
      <c r="R133" s="234">
        <f>IF($Q133&lt;='Data Input 1'!$J$10,0,IF($Q133&lt;='Data Input 1'!$L$10,'Data Input 1'!$N$10,IF($Q133&lt;='Data Input 1'!$L$11,'Data Input 1'!$N$11,IF($Q133&lt;='Data Input 1'!$L$12,'Data Input 1'!$N$12,IF($Q133&lt;='Data Input 1'!$L$13,'Data Input 1'!$N$13,MAX('Data Input 1'!$N$10:$N$14))))))</f>
        <v>2</v>
      </c>
      <c r="S133" s="235">
        <f t="shared" si="14"/>
        <v>223</v>
      </c>
      <c r="T133" s="234">
        <f>IF($Q133&lt;='Data Input 1'!$J$10,0,IF($Q133&lt;='Data Input 1'!$L$10,'Data Input 1'!$O$10,IF($Q133&lt;='Data Input 1'!$L$11,'Data Input 1'!$O$11,IF($Q133&lt;='Data Input 1'!$L$12,'Data Input 1'!$O$12,IF($Q133&lt;='Data Input 1'!$L$13,'Data Input 1'!$O$13,MAX('Data Input 1'!$O$10:$O$14))))))</f>
        <v>5.25</v>
      </c>
      <c r="U133" s="235">
        <f t="shared" si="15"/>
        <v>413.5</v>
      </c>
      <c r="V133" s="236">
        <f t="shared" si="12"/>
        <v>0.85426008968609868</v>
      </c>
      <c r="X133" s="233">
        <v>99000</v>
      </c>
      <c r="Y133" s="234">
        <f>IF($Q133&lt;='Data Input 1'!$J$18,0,IF($Q133&lt;='Data Input 1'!$L$18,'Data Input 1'!$N$18,IF($Q133&lt;='Data Input 1'!$L$19,'Data Input 1'!$N$19,IF($Q133&lt;='Data Input 1'!$L$20,'Data Input 1'!$N$20,IF($Q133&lt;='Data Input 1'!$L$21,'Data Input 1'!$N$21,MAX('Data Input 1'!$N$18:$N$22))))))</f>
        <v>2</v>
      </c>
      <c r="Z133" s="235">
        <f t="shared" si="16"/>
        <v>225</v>
      </c>
      <c r="AA133" s="234">
        <f>IF($Q133&lt;='Data Input 1'!$J$18,0,IF($Q133&lt;='Data Input 1'!$L$18,'Data Input 1'!$O$18,IF($Q133&lt;='Data Input 1'!$L$19,'Data Input 1'!$O$19,IF($Q133&lt;='Data Input 1'!$L$20,'Data Input 1'!$O$20,IF($Q133&lt;='Data Input 1'!$L$21,'Data Input 1'!$O$21,MAX('Data Input 1'!$O$18:$O$22))))))</f>
        <v>6</v>
      </c>
      <c r="AB133" s="235">
        <f t="shared" si="17"/>
        <v>461.75</v>
      </c>
      <c r="AC133" s="236">
        <f t="shared" si="13"/>
        <v>1.0522222222222222</v>
      </c>
    </row>
    <row r="134" spans="1:29" x14ac:dyDescent="0.2">
      <c r="Q134" s="233">
        <v>100000</v>
      </c>
      <c r="R134" s="234">
        <f>IF($Q134&lt;='Data Input 1'!$J$10,0,IF($Q134&lt;='Data Input 1'!$L$10,'Data Input 1'!$N$10,IF($Q134&lt;='Data Input 1'!$L$11,'Data Input 1'!$N$11,IF($Q134&lt;='Data Input 1'!$L$12,'Data Input 1'!$N$12,IF($Q134&lt;='Data Input 1'!$L$13,'Data Input 1'!$N$13,MAX('Data Input 1'!$N$10:$N$14))))))</f>
        <v>2</v>
      </c>
      <c r="S134" s="235">
        <f t="shared" si="14"/>
        <v>225</v>
      </c>
      <c r="T134" s="234">
        <f>IF($Q134&lt;='Data Input 1'!$J$10,0,IF($Q134&lt;='Data Input 1'!$L$10,'Data Input 1'!$O$10,IF($Q134&lt;='Data Input 1'!$L$11,'Data Input 1'!$O$11,IF($Q134&lt;='Data Input 1'!$L$12,'Data Input 1'!$O$12,IF($Q134&lt;='Data Input 1'!$L$13,'Data Input 1'!$O$13,MAX('Data Input 1'!$O$10:$O$14))))))</f>
        <v>5.25</v>
      </c>
      <c r="U134" s="235">
        <f t="shared" si="15"/>
        <v>418.75</v>
      </c>
      <c r="V134" s="236">
        <f t="shared" si="12"/>
        <v>0.86111111111111116</v>
      </c>
      <c r="X134" s="233">
        <v>100000</v>
      </c>
      <c r="Y134" s="234">
        <f>IF($Q134&lt;='Data Input 1'!$J$18,0,IF($Q134&lt;='Data Input 1'!$L$18,'Data Input 1'!$N$18,IF($Q134&lt;='Data Input 1'!$L$19,'Data Input 1'!$N$19,IF($Q134&lt;='Data Input 1'!$L$20,'Data Input 1'!$N$20,IF($Q134&lt;='Data Input 1'!$L$21,'Data Input 1'!$N$21,MAX('Data Input 1'!$N$18:$N$22))))))</f>
        <v>2</v>
      </c>
      <c r="Z134" s="235">
        <f t="shared" si="16"/>
        <v>227</v>
      </c>
      <c r="AA134" s="234">
        <f>IF($Q134&lt;='Data Input 1'!$J$18,0,IF($Q134&lt;='Data Input 1'!$L$18,'Data Input 1'!$O$18,IF($Q134&lt;='Data Input 1'!$L$19,'Data Input 1'!$O$19,IF($Q134&lt;='Data Input 1'!$L$20,'Data Input 1'!$O$20,IF($Q134&lt;='Data Input 1'!$L$21,'Data Input 1'!$O$21,MAX('Data Input 1'!$O$18:$O$22))))))</f>
        <v>6</v>
      </c>
      <c r="AB134" s="235">
        <f t="shared" si="17"/>
        <v>467.75</v>
      </c>
      <c r="AC134" s="236">
        <f t="shared" si="13"/>
        <v>1.0605726872246697</v>
      </c>
    </row>
    <row r="135" spans="1:29" s="237" customFormat="1" ht="13.5" thickBot="1" x14ac:dyDescent="0.25"/>
    <row r="137" spans="1:29" ht="18" x14ac:dyDescent="0.25">
      <c r="A137" s="346" t="s">
        <v>116</v>
      </c>
      <c r="B137" s="346"/>
      <c r="C137" s="346"/>
      <c r="D137" s="346"/>
      <c r="E137" s="346"/>
      <c r="F137" s="346"/>
      <c r="G137" s="346"/>
      <c r="H137" s="346"/>
      <c r="I137" s="346"/>
      <c r="J137" s="346"/>
      <c r="K137" s="346"/>
      <c r="L137" s="346"/>
      <c r="M137" s="346"/>
      <c r="N137" s="346"/>
      <c r="O137" s="346"/>
      <c r="P137" s="238"/>
      <c r="R137" s="344" t="s">
        <v>112</v>
      </c>
      <c r="S137" s="344"/>
      <c r="T137" s="344"/>
      <c r="U137" s="344"/>
    </row>
    <row r="138" spans="1:29" ht="15.75" x14ac:dyDescent="0.25">
      <c r="Q138" s="228"/>
      <c r="R138" s="228"/>
      <c r="S138" s="118">
        <f>'Data Input 1'!$F$6</f>
        <v>2014</v>
      </c>
      <c r="T138" s="118"/>
      <c r="U138" s="229">
        <f>'Data Input 1'!$G$6</f>
        <v>2015</v>
      </c>
      <c r="V138" s="230"/>
    </row>
    <row r="139" spans="1:29" ht="38.25" x14ac:dyDescent="0.2">
      <c r="Q139" s="231" t="s">
        <v>117</v>
      </c>
      <c r="R139" s="232" t="s">
        <v>110</v>
      </c>
      <c r="S139" s="232" t="s">
        <v>109</v>
      </c>
      <c r="T139" s="232" t="s">
        <v>111</v>
      </c>
      <c r="U139" s="232" t="s">
        <v>108</v>
      </c>
      <c r="V139" s="232" t="s">
        <v>128</v>
      </c>
    </row>
    <row r="140" spans="1:29" x14ac:dyDescent="0.2">
      <c r="Q140" s="233">
        <v>0</v>
      </c>
      <c r="R140" s="234">
        <v>0</v>
      </c>
      <c r="S140" s="235">
        <f>'Data Input 1'!$F$27</f>
        <v>16</v>
      </c>
      <c r="T140" s="234">
        <v>0</v>
      </c>
      <c r="U140" s="235">
        <f>'Data Input 1'!$G$27</f>
        <v>20</v>
      </c>
      <c r="V140" s="236">
        <f>(U140-S140)/S140</f>
        <v>0.25</v>
      </c>
    </row>
    <row r="141" spans="1:29" x14ac:dyDescent="0.2">
      <c r="Q141" s="233">
        <v>1000</v>
      </c>
      <c r="R141" s="234">
        <f>IF($Q141&lt;='Data Input 1'!$B$29,0,IF($Q141&lt;='Data Input 1'!$D$29,'Data Input 1'!$F$29,IF($Q141&lt;='Data Input 1'!$D$30,'Data Input 1'!$F$30,IF($Q141&lt;='Data Input 1'!$D$31,'Data Input 1'!$F$31,IF($Q141&lt;='Data Input 1'!$D$32,'Data Input 1'!$F$32,MAX('Data Input 1'!$F$29:$F$33))))))</f>
        <v>3.5</v>
      </c>
      <c r="S141" s="235">
        <f>S140+R141</f>
        <v>19.5</v>
      </c>
      <c r="T141" s="234">
        <f>IF($Q141&lt;='Data Input 1'!$B$29,0,IF($Q141&lt;='Data Input 1'!$D$29,'Data Input 1'!$G$29,IF($Q141&lt;='Data Input 1'!$D$30,'Data Input 1'!$G$30,IF($Q141&lt;='Data Input 1'!$D$31,'Data Input 1'!$G$31,IF($Q141&lt;='Data Input 1'!$D$32,'Data Input 1'!$G$32,MAX('Data Input 1'!$G$29:$G$33))))))</f>
        <v>4.25</v>
      </c>
      <c r="U141" s="235">
        <f>U140+T141</f>
        <v>24.25</v>
      </c>
      <c r="V141" s="236">
        <f t="shared" ref="V141:V190" si="18">(U141-S141)/S141</f>
        <v>0.24358974358974358</v>
      </c>
    </row>
    <row r="142" spans="1:29" x14ac:dyDescent="0.2">
      <c r="Q142" s="233">
        <v>2000</v>
      </c>
      <c r="R142" s="234">
        <f>IF($Q142&lt;='Data Input 1'!$B$29,0,IF($Q142&lt;='Data Input 1'!$D$29,'Data Input 1'!$F$29,IF($Q142&lt;='Data Input 1'!$D$30,'Data Input 1'!$F$30,IF($Q142&lt;='Data Input 1'!$D$31,'Data Input 1'!$F$31,IF($Q142&lt;='Data Input 1'!$D$32,'Data Input 1'!$F$32,MAX('Data Input 1'!$F$29:$F$33))))))</f>
        <v>3.5</v>
      </c>
      <c r="S142" s="235">
        <f t="shared" ref="S142:S190" si="19">S141+R142</f>
        <v>23</v>
      </c>
      <c r="T142" s="234">
        <f>IF($Q142&lt;='Data Input 1'!$B$29,0,IF($Q142&lt;='Data Input 1'!$D$29,'Data Input 1'!$G$29,IF($Q142&lt;='Data Input 1'!$D$30,'Data Input 1'!$G$30,IF($Q142&lt;='Data Input 1'!$D$31,'Data Input 1'!$G$31,IF($Q142&lt;='Data Input 1'!$D$32,'Data Input 1'!$G$32,MAX('Data Input 1'!$G$29:$G$33))))))</f>
        <v>4.25</v>
      </c>
      <c r="U142" s="235">
        <f t="shared" ref="U142:U190" si="20">U141+T142</f>
        <v>28.5</v>
      </c>
      <c r="V142" s="236">
        <f t="shared" si="18"/>
        <v>0.2391304347826087</v>
      </c>
    </row>
    <row r="143" spans="1:29" x14ac:dyDescent="0.2">
      <c r="Q143" s="233">
        <v>3000</v>
      </c>
      <c r="R143" s="234">
        <f>IF($Q143&lt;='Data Input 1'!$B$29,0,IF($Q143&lt;='Data Input 1'!$D$29,'Data Input 1'!$F$29,IF($Q143&lt;='Data Input 1'!$D$30,'Data Input 1'!$F$30,IF($Q143&lt;='Data Input 1'!$D$31,'Data Input 1'!$F$31,IF($Q143&lt;='Data Input 1'!$D$32,'Data Input 1'!$F$32,MAX('Data Input 1'!$F$29:$F$33))))))</f>
        <v>3.5</v>
      </c>
      <c r="S143" s="235">
        <f t="shared" si="19"/>
        <v>26.5</v>
      </c>
      <c r="T143" s="234">
        <f>IF($Q143&lt;='Data Input 1'!$B$29,0,IF($Q143&lt;='Data Input 1'!$D$29,'Data Input 1'!$G$29,IF($Q143&lt;='Data Input 1'!$D$30,'Data Input 1'!$G$30,IF($Q143&lt;='Data Input 1'!$D$31,'Data Input 1'!$G$31,IF($Q143&lt;='Data Input 1'!$D$32,'Data Input 1'!$G$32,MAX('Data Input 1'!$G$29:$G$33))))))</f>
        <v>4.25</v>
      </c>
      <c r="U143" s="235">
        <f t="shared" si="20"/>
        <v>32.75</v>
      </c>
      <c r="V143" s="236">
        <f t="shared" si="18"/>
        <v>0.23584905660377359</v>
      </c>
    </row>
    <row r="144" spans="1:29" x14ac:dyDescent="0.2">
      <c r="Q144" s="233">
        <v>4000</v>
      </c>
      <c r="R144" s="234">
        <f>IF($Q144&lt;='Data Input 1'!$B$29,0,IF($Q144&lt;='Data Input 1'!$D$29,'Data Input 1'!$F$29,IF($Q144&lt;='Data Input 1'!$D$30,'Data Input 1'!$F$30,IF($Q144&lt;='Data Input 1'!$D$31,'Data Input 1'!$F$31,IF($Q144&lt;='Data Input 1'!$D$32,'Data Input 1'!$F$32,MAX('Data Input 1'!$F$29:$F$33))))))</f>
        <v>3.5</v>
      </c>
      <c r="S144" s="235">
        <f t="shared" si="19"/>
        <v>30</v>
      </c>
      <c r="T144" s="234">
        <f>IF($Q144&lt;='Data Input 1'!$B$29,0,IF($Q144&lt;='Data Input 1'!$D$29,'Data Input 1'!$G$29,IF($Q144&lt;='Data Input 1'!$D$30,'Data Input 1'!$G$30,IF($Q144&lt;='Data Input 1'!$D$31,'Data Input 1'!$G$31,IF($Q144&lt;='Data Input 1'!$D$32,'Data Input 1'!$G$32,MAX('Data Input 1'!$G$29:$G$33))))))</f>
        <v>4.25</v>
      </c>
      <c r="U144" s="235">
        <f t="shared" si="20"/>
        <v>37</v>
      </c>
      <c r="V144" s="236">
        <f t="shared" si="18"/>
        <v>0.23333333333333334</v>
      </c>
    </row>
    <row r="145" spans="17:22" x14ac:dyDescent="0.2">
      <c r="Q145" s="233">
        <v>5000</v>
      </c>
      <c r="R145" s="234">
        <f>IF($Q145&lt;='Data Input 1'!$B$29,0,IF($Q145&lt;='Data Input 1'!$D$29,'Data Input 1'!$F$29,IF($Q145&lt;='Data Input 1'!$D$30,'Data Input 1'!$F$30,IF($Q145&lt;='Data Input 1'!$D$31,'Data Input 1'!$F$31,IF($Q145&lt;='Data Input 1'!$D$32,'Data Input 1'!$F$32,MAX('Data Input 1'!$F$29:$F$33))))))</f>
        <v>3.5</v>
      </c>
      <c r="S145" s="235">
        <f t="shared" si="19"/>
        <v>33.5</v>
      </c>
      <c r="T145" s="234">
        <f>IF($Q145&lt;='Data Input 1'!$B$29,0,IF($Q145&lt;='Data Input 1'!$D$29,'Data Input 1'!$G$29,IF($Q145&lt;='Data Input 1'!$D$30,'Data Input 1'!$G$30,IF($Q145&lt;='Data Input 1'!$D$31,'Data Input 1'!$G$31,IF($Q145&lt;='Data Input 1'!$D$32,'Data Input 1'!$G$32,MAX('Data Input 1'!$G$29:$G$33))))))</f>
        <v>4.25</v>
      </c>
      <c r="U145" s="235">
        <f t="shared" si="20"/>
        <v>41.25</v>
      </c>
      <c r="V145" s="236">
        <f t="shared" si="18"/>
        <v>0.23134328358208955</v>
      </c>
    </row>
    <row r="146" spans="17:22" x14ac:dyDescent="0.2">
      <c r="Q146" s="233">
        <v>6000</v>
      </c>
      <c r="R146" s="234">
        <f>IF($Q146&lt;='Data Input 1'!$B$29,0,IF($Q146&lt;='Data Input 1'!$D$29,'Data Input 1'!$F$29,IF($Q146&lt;='Data Input 1'!$D$30,'Data Input 1'!$F$30,IF($Q146&lt;='Data Input 1'!$D$31,'Data Input 1'!$F$31,IF($Q146&lt;='Data Input 1'!$D$32,'Data Input 1'!$F$32,MAX('Data Input 1'!$F$29:$F$33))))))</f>
        <v>3.5</v>
      </c>
      <c r="S146" s="235">
        <f t="shared" si="19"/>
        <v>37</v>
      </c>
      <c r="T146" s="234">
        <f>IF($Q146&lt;='Data Input 1'!$B$29,0,IF($Q146&lt;='Data Input 1'!$D$29,'Data Input 1'!$G$29,IF($Q146&lt;='Data Input 1'!$D$30,'Data Input 1'!$G$30,IF($Q146&lt;='Data Input 1'!$D$31,'Data Input 1'!$G$31,IF($Q146&lt;='Data Input 1'!$D$32,'Data Input 1'!$G$32,MAX('Data Input 1'!$G$29:$G$33))))))</f>
        <v>4.25</v>
      </c>
      <c r="U146" s="235">
        <f t="shared" si="20"/>
        <v>45.5</v>
      </c>
      <c r="V146" s="236">
        <f t="shared" si="18"/>
        <v>0.22972972972972974</v>
      </c>
    </row>
    <row r="147" spans="17:22" x14ac:dyDescent="0.2">
      <c r="Q147" s="233">
        <v>7000</v>
      </c>
      <c r="R147" s="234">
        <f>IF($Q147&lt;='Data Input 1'!$B$29,0,IF($Q147&lt;='Data Input 1'!$D$29,'Data Input 1'!$F$29,IF($Q147&lt;='Data Input 1'!$D$30,'Data Input 1'!$F$30,IF($Q147&lt;='Data Input 1'!$D$31,'Data Input 1'!$F$31,IF($Q147&lt;='Data Input 1'!$D$32,'Data Input 1'!$F$32,MAX('Data Input 1'!$F$29:$F$33))))))</f>
        <v>3.5</v>
      </c>
      <c r="S147" s="235">
        <f t="shared" si="19"/>
        <v>40.5</v>
      </c>
      <c r="T147" s="234">
        <f>IF($Q147&lt;='Data Input 1'!$B$29,0,IF($Q147&lt;='Data Input 1'!$D$29,'Data Input 1'!$G$29,IF($Q147&lt;='Data Input 1'!$D$30,'Data Input 1'!$G$30,IF($Q147&lt;='Data Input 1'!$D$31,'Data Input 1'!$G$31,IF($Q147&lt;='Data Input 1'!$D$32,'Data Input 1'!$G$32,MAX('Data Input 1'!$G$29:$G$33))))))</f>
        <v>4.25</v>
      </c>
      <c r="U147" s="235">
        <f t="shared" si="20"/>
        <v>49.75</v>
      </c>
      <c r="V147" s="236">
        <f t="shared" si="18"/>
        <v>0.22839506172839505</v>
      </c>
    </row>
    <row r="148" spans="17:22" x14ac:dyDescent="0.2">
      <c r="Q148" s="233">
        <v>8000</v>
      </c>
      <c r="R148" s="234">
        <f>IF($Q148&lt;='Data Input 1'!$B$29,0,IF($Q148&lt;='Data Input 1'!$D$29,'Data Input 1'!$F$29,IF($Q148&lt;='Data Input 1'!$D$30,'Data Input 1'!$F$30,IF($Q148&lt;='Data Input 1'!$D$31,'Data Input 1'!$F$31,IF($Q148&lt;='Data Input 1'!$D$32,'Data Input 1'!$F$32,MAX('Data Input 1'!$F$29:$F$33))))))</f>
        <v>3.5</v>
      </c>
      <c r="S148" s="235">
        <f t="shared" si="19"/>
        <v>44</v>
      </c>
      <c r="T148" s="234">
        <f>IF($Q148&lt;='Data Input 1'!$B$29,0,IF($Q148&lt;='Data Input 1'!$D$29,'Data Input 1'!$G$29,IF($Q148&lt;='Data Input 1'!$D$30,'Data Input 1'!$G$30,IF($Q148&lt;='Data Input 1'!$D$31,'Data Input 1'!$G$31,IF($Q148&lt;='Data Input 1'!$D$32,'Data Input 1'!$G$32,MAX('Data Input 1'!$G$29:$G$33))))))</f>
        <v>4.25</v>
      </c>
      <c r="U148" s="235">
        <f t="shared" si="20"/>
        <v>54</v>
      </c>
      <c r="V148" s="236">
        <f t="shared" si="18"/>
        <v>0.22727272727272727</v>
      </c>
    </row>
    <row r="149" spans="17:22" x14ac:dyDescent="0.2">
      <c r="Q149" s="233">
        <v>9000</v>
      </c>
      <c r="R149" s="234">
        <f>IF($Q149&lt;='Data Input 1'!$B$29,0,IF($Q149&lt;='Data Input 1'!$D$29,'Data Input 1'!$F$29,IF($Q149&lt;='Data Input 1'!$D$30,'Data Input 1'!$F$30,IF($Q149&lt;='Data Input 1'!$D$31,'Data Input 1'!$F$31,IF($Q149&lt;='Data Input 1'!$D$32,'Data Input 1'!$F$32,MAX('Data Input 1'!$F$29:$F$33))))))</f>
        <v>3.5</v>
      </c>
      <c r="S149" s="235">
        <f t="shared" si="19"/>
        <v>47.5</v>
      </c>
      <c r="T149" s="234">
        <f>IF($Q149&lt;='Data Input 1'!$B$29,0,IF($Q149&lt;='Data Input 1'!$D$29,'Data Input 1'!$G$29,IF($Q149&lt;='Data Input 1'!$D$30,'Data Input 1'!$G$30,IF($Q149&lt;='Data Input 1'!$D$31,'Data Input 1'!$G$31,IF($Q149&lt;='Data Input 1'!$D$32,'Data Input 1'!$G$32,MAX('Data Input 1'!$G$29:$G$33))))))</f>
        <v>4.25</v>
      </c>
      <c r="U149" s="235">
        <f t="shared" si="20"/>
        <v>58.25</v>
      </c>
      <c r="V149" s="236">
        <f t="shared" si="18"/>
        <v>0.22631578947368422</v>
      </c>
    </row>
    <row r="150" spans="17:22" x14ac:dyDescent="0.2">
      <c r="Q150" s="233">
        <v>10000</v>
      </c>
      <c r="R150" s="234">
        <f>IF($Q150&lt;='Data Input 1'!$B$29,0,IF($Q150&lt;='Data Input 1'!$D$29,'Data Input 1'!$F$29,IF($Q150&lt;='Data Input 1'!$D$30,'Data Input 1'!$F$30,IF($Q150&lt;='Data Input 1'!$D$31,'Data Input 1'!$F$31,IF($Q150&lt;='Data Input 1'!$D$32,'Data Input 1'!$F$32,MAX('Data Input 1'!$F$29:$F$33))))))</f>
        <v>3.5</v>
      </c>
      <c r="S150" s="235">
        <f t="shared" si="19"/>
        <v>51</v>
      </c>
      <c r="T150" s="234">
        <f>IF($Q150&lt;='Data Input 1'!$B$29,0,IF($Q150&lt;='Data Input 1'!$D$29,'Data Input 1'!$G$29,IF($Q150&lt;='Data Input 1'!$D$30,'Data Input 1'!$G$30,IF($Q150&lt;='Data Input 1'!$D$31,'Data Input 1'!$G$31,IF($Q150&lt;='Data Input 1'!$D$32,'Data Input 1'!$G$32,MAX('Data Input 1'!$G$29:$G$33))))))</f>
        <v>4.25</v>
      </c>
      <c r="U150" s="235">
        <f t="shared" si="20"/>
        <v>62.5</v>
      </c>
      <c r="V150" s="236">
        <f t="shared" si="18"/>
        <v>0.22549019607843138</v>
      </c>
    </row>
    <row r="151" spans="17:22" x14ac:dyDescent="0.2">
      <c r="Q151" s="233">
        <v>11000</v>
      </c>
      <c r="R151" s="234">
        <f>IF($Q151&lt;='Data Input 1'!$B$29,0,IF($Q151&lt;='Data Input 1'!$D$29,'Data Input 1'!$F$29,IF($Q151&lt;='Data Input 1'!$D$30,'Data Input 1'!$F$30,IF($Q151&lt;='Data Input 1'!$D$31,'Data Input 1'!$F$31,IF($Q151&lt;='Data Input 1'!$D$32,'Data Input 1'!$F$32,MAX('Data Input 1'!$F$29:$F$33))))))</f>
        <v>3.5</v>
      </c>
      <c r="S151" s="235">
        <f t="shared" si="19"/>
        <v>54.5</v>
      </c>
      <c r="T151" s="234">
        <f>IF($Q151&lt;='Data Input 1'!$B$29,0,IF($Q151&lt;='Data Input 1'!$D$29,'Data Input 1'!$G$29,IF($Q151&lt;='Data Input 1'!$D$30,'Data Input 1'!$G$30,IF($Q151&lt;='Data Input 1'!$D$31,'Data Input 1'!$G$31,IF($Q151&lt;='Data Input 1'!$D$32,'Data Input 1'!$G$32,MAX('Data Input 1'!$G$29:$G$33))))))</f>
        <v>4.25</v>
      </c>
      <c r="U151" s="235">
        <f t="shared" si="20"/>
        <v>66.75</v>
      </c>
      <c r="V151" s="236">
        <f t="shared" si="18"/>
        <v>0.22477064220183487</v>
      </c>
    </row>
    <row r="152" spans="17:22" x14ac:dyDescent="0.2">
      <c r="Q152" s="233">
        <v>12000</v>
      </c>
      <c r="R152" s="234">
        <f>IF($Q152&lt;='Data Input 1'!$B$29,0,IF($Q152&lt;='Data Input 1'!$D$29,'Data Input 1'!$F$29,IF($Q152&lt;='Data Input 1'!$D$30,'Data Input 1'!$F$30,IF($Q152&lt;='Data Input 1'!$D$31,'Data Input 1'!$F$31,IF($Q152&lt;='Data Input 1'!$D$32,'Data Input 1'!$F$32,MAX('Data Input 1'!$F$29:$F$33))))))</f>
        <v>3.5</v>
      </c>
      <c r="S152" s="235">
        <f t="shared" si="19"/>
        <v>58</v>
      </c>
      <c r="T152" s="234">
        <f>IF($Q152&lt;='Data Input 1'!$B$29,0,IF($Q152&lt;='Data Input 1'!$D$29,'Data Input 1'!$G$29,IF($Q152&lt;='Data Input 1'!$D$30,'Data Input 1'!$G$30,IF($Q152&lt;='Data Input 1'!$D$31,'Data Input 1'!$G$31,IF($Q152&lt;='Data Input 1'!$D$32,'Data Input 1'!$G$32,MAX('Data Input 1'!$G$29:$G$33))))))</f>
        <v>4.25</v>
      </c>
      <c r="U152" s="235">
        <f t="shared" si="20"/>
        <v>71</v>
      </c>
      <c r="V152" s="236">
        <f t="shared" si="18"/>
        <v>0.22413793103448276</v>
      </c>
    </row>
    <row r="153" spans="17:22" x14ac:dyDescent="0.2">
      <c r="Q153" s="233">
        <v>13000</v>
      </c>
      <c r="R153" s="234">
        <f>IF($Q153&lt;='Data Input 1'!$B$29,0,IF($Q153&lt;='Data Input 1'!$D$29,'Data Input 1'!$F$29,IF($Q153&lt;='Data Input 1'!$D$30,'Data Input 1'!$F$30,IF($Q153&lt;='Data Input 1'!$D$31,'Data Input 1'!$F$31,IF($Q153&lt;='Data Input 1'!$D$32,'Data Input 1'!$F$32,MAX('Data Input 1'!$F$29:$F$33))))))</f>
        <v>3.5</v>
      </c>
      <c r="S153" s="235">
        <f t="shared" si="19"/>
        <v>61.5</v>
      </c>
      <c r="T153" s="234">
        <f>IF($Q153&lt;='Data Input 1'!$B$29,0,IF($Q153&lt;='Data Input 1'!$D$29,'Data Input 1'!$G$29,IF($Q153&lt;='Data Input 1'!$D$30,'Data Input 1'!$G$30,IF($Q153&lt;='Data Input 1'!$D$31,'Data Input 1'!$G$31,IF($Q153&lt;='Data Input 1'!$D$32,'Data Input 1'!$G$32,MAX('Data Input 1'!$G$29:$G$33))))))</f>
        <v>4.25</v>
      </c>
      <c r="U153" s="235">
        <f t="shared" si="20"/>
        <v>75.25</v>
      </c>
      <c r="V153" s="236">
        <f t="shared" si="18"/>
        <v>0.22357723577235772</v>
      </c>
    </row>
    <row r="154" spans="17:22" x14ac:dyDescent="0.2">
      <c r="Q154" s="233">
        <v>14000</v>
      </c>
      <c r="R154" s="234">
        <f>IF($Q154&lt;='Data Input 1'!$B$29,0,IF($Q154&lt;='Data Input 1'!$D$29,'Data Input 1'!$F$29,IF($Q154&lt;='Data Input 1'!$D$30,'Data Input 1'!$F$30,IF($Q154&lt;='Data Input 1'!$D$31,'Data Input 1'!$F$31,IF($Q154&lt;='Data Input 1'!$D$32,'Data Input 1'!$F$32,MAX('Data Input 1'!$F$29:$F$33))))))</f>
        <v>3.5</v>
      </c>
      <c r="S154" s="235">
        <f t="shared" si="19"/>
        <v>65</v>
      </c>
      <c r="T154" s="234">
        <f>IF($Q154&lt;='Data Input 1'!$B$29,0,IF($Q154&lt;='Data Input 1'!$D$29,'Data Input 1'!$G$29,IF($Q154&lt;='Data Input 1'!$D$30,'Data Input 1'!$G$30,IF($Q154&lt;='Data Input 1'!$D$31,'Data Input 1'!$G$31,IF($Q154&lt;='Data Input 1'!$D$32,'Data Input 1'!$G$32,MAX('Data Input 1'!$G$29:$G$33))))))</f>
        <v>4.25</v>
      </c>
      <c r="U154" s="235">
        <f t="shared" si="20"/>
        <v>79.5</v>
      </c>
      <c r="V154" s="236">
        <f t="shared" si="18"/>
        <v>0.22307692307692309</v>
      </c>
    </row>
    <row r="155" spans="17:22" x14ac:dyDescent="0.2">
      <c r="Q155" s="233">
        <v>15000</v>
      </c>
      <c r="R155" s="234">
        <f>IF($Q155&lt;='Data Input 1'!$B$29,0,IF($Q155&lt;='Data Input 1'!$D$29,'Data Input 1'!$F$29,IF($Q155&lt;='Data Input 1'!$D$30,'Data Input 1'!$F$30,IF($Q155&lt;='Data Input 1'!$D$31,'Data Input 1'!$F$31,IF($Q155&lt;='Data Input 1'!$D$32,'Data Input 1'!$F$32,MAX('Data Input 1'!$F$29:$F$33))))))</f>
        <v>3.5</v>
      </c>
      <c r="S155" s="235">
        <f t="shared" si="19"/>
        <v>68.5</v>
      </c>
      <c r="T155" s="234">
        <f>IF($Q155&lt;='Data Input 1'!$B$29,0,IF($Q155&lt;='Data Input 1'!$D$29,'Data Input 1'!$G$29,IF($Q155&lt;='Data Input 1'!$D$30,'Data Input 1'!$G$30,IF($Q155&lt;='Data Input 1'!$D$31,'Data Input 1'!$G$31,IF($Q155&lt;='Data Input 1'!$D$32,'Data Input 1'!$G$32,MAX('Data Input 1'!$G$29:$G$33))))))</f>
        <v>4.25</v>
      </c>
      <c r="U155" s="235">
        <f t="shared" si="20"/>
        <v>83.75</v>
      </c>
      <c r="V155" s="236">
        <f t="shared" si="18"/>
        <v>0.22262773722627738</v>
      </c>
    </row>
    <row r="156" spans="17:22" x14ac:dyDescent="0.2">
      <c r="Q156" s="233">
        <v>16000</v>
      </c>
      <c r="R156" s="234">
        <f>IF($Q156&lt;='Data Input 1'!$B$29,0,IF($Q156&lt;='Data Input 1'!$D$29,'Data Input 1'!$F$29,IF($Q156&lt;='Data Input 1'!$D$30,'Data Input 1'!$F$30,IF($Q156&lt;='Data Input 1'!$D$31,'Data Input 1'!$F$31,IF($Q156&lt;='Data Input 1'!$D$32,'Data Input 1'!$F$32,MAX('Data Input 1'!$F$29:$F$33))))))</f>
        <v>3.5</v>
      </c>
      <c r="S156" s="235">
        <f t="shared" si="19"/>
        <v>72</v>
      </c>
      <c r="T156" s="234">
        <f>IF($Q156&lt;='Data Input 1'!$B$29,0,IF($Q156&lt;='Data Input 1'!$D$29,'Data Input 1'!$G$29,IF($Q156&lt;='Data Input 1'!$D$30,'Data Input 1'!$G$30,IF($Q156&lt;='Data Input 1'!$D$31,'Data Input 1'!$G$31,IF($Q156&lt;='Data Input 1'!$D$32,'Data Input 1'!$G$32,MAX('Data Input 1'!$G$29:$G$33))))))</f>
        <v>4.25</v>
      </c>
      <c r="U156" s="235">
        <f t="shared" si="20"/>
        <v>88</v>
      </c>
      <c r="V156" s="236">
        <f t="shared" si="18"/>
        <v>0.22222222222222221</v>
      </c>
    </row>
    <row r="157" spans="17:22" x14ac:dyDescent="0.2">
      <c r="Q157" s="233">
        <v>17000</v>
      </c>
      <c r="R157" s="234">
        <f>IF($Q157&lt;='Data Input 1'!$B$29,0,IF($Q157&lt;='Data Input 1'!$D$29,'Data Input 1'!$F$29,IF($Q157&lt;='Data Input 1'!$D$30,'Data Input 1'!$F$30,IF($Q157&lt;='Data Input 1'!$D$31,'Data Input 1'!$F$31,IF($Q157&lt;='Data Input 1'!$D$32,'Data Input 1'!$F$32,MAX('Data Input 1'!$F$29:$F$33))))))</f>
        <v>3.5</v>
      </c>
      <c r="S157" s="235">
        <f t="shared" si="19"/>
        <v>75.5</v>
      </c>
      <c r="T157" s="234">
        <f>IF($Q157&lt;='Data Input 1'!$B$29,0,IF($Q157&lt;='Data Input 1'!$D$29,'Data Input 1'!$G$29,IF($Q157&lt;='Data Input 1'!$D$30,'Data Input 1'!$G$30,IF($Q157&lt;='Data Input 1'!$D$31,'Data Input 1'!$G$31,IF($Q157&lt;='Data Input 1'!$D$32,'Data Input 1'!$G$32,MAX('Data Input 1'!$G$29:$G$33))))))</f>
        <v>4.25</v>
      </c>
      <c r="U157" s="235">
        <f t="shared" si="20"/>
        <v>92.25</v>
      </c>
      <c r="V157" s="236">
        <f t="shared" si="18"/>
        <v>0.22185430463576158</v>
      </c>
    </row>
    <row r="158" spans="17:22" x14ac:dyDescent="0.2">
      <c r="Q158" s="233">
        <v>18000</v>
      </c>
      <c r="R158" s="234">
        <f>IF($Q158&lt;='Data Input 1'!$B$29,0,IF($Q158&lt;='Data Input 1'!$D$29,'Data Input 1'!$F$29,IF($Q158&lt;='Data Input 1'!$D$30,'Data Input 1'!$F$30,IF($Q158&lt;='Data Input 1'!$D$31,'Data Input 1'!$F$31,IF($Q158&lt;='Data Input 1'!$D$32,'Data Input 1'!$F$32,MAX('Data Input 1'!$F$29:$F$33))))))</f>
        <v>3.5</v>
      </c>
      <c r="S158" s="235">
        <f t="shared" si="19"/>
        <v>79</v>
      </c>
      <c r="T158" s="234">
        <f>IF($Q158&lt;='Data Input 1'!$B$29,0,IF($Q158&lt;='Data Input 1'!$D$29,'Data Input 1'!$G$29,IF($Q158&lt;='Data Input 1'!$D$30,'Data Input 1'!$G$30,IF($Q158&lt;='Data Input 1'!$D$31,'Data Input 1'!$G$31,IF($Q158&lt;='Data Input 1'!$D$32,'Data Input 1'!$G$32,MAX('Data Input 1'!$G$29:$G$33))))))</f>
        <v>4.25</v>
      </c>
      <c r="U158" s="235">
        <f t="shared" si="20"/>
        <v>96.5</v>
      </c>
      <c r="V158" s="236">
        <f t="shared" si="18"/>
        <v>0.22151898734177214</v>
      </c>
    </row>
    <row r="159" spans="17:22" x14ac:dyDescent="0.2">
      <c r="Q159" s="233">
        <v>19000</v>
      </c>
      <c r="R159" s="234">
        <f>IF($Q159&lt;='Data Input 1'!$B$29,0,IF($Q159&lt;='Data Input 1'!$D$29,'Data Input 1'!$F$29,IF($Q159&lt;='Data Input 1'!$D$30,'Data Input 1'!$F$30,IF($Q159&lt;='Data Input 1'!$D$31,'Data Input 1'!$F$31,IF($Q159&lt;='Data Input 1'!$D$32,'Data Input 1'!$F$32,MAX('Data Input 1'!$F$29:$F$33))))))</f>
        <v>3.5</v>
      </c>
      <c r="S159" s="235">
        <f t="shared" si="19"/>
        <v>82.5</v>
      </c>
      <c r="T159" s="234">
        <f>IF($Q159&lt;='Data Input 1'!$B$29,0,IF($Q159&lt;='Data Input 1'!$D$29,'Data Input 1'!$G$29,IF($Q159&lt;='Data Input 1'!$D$30,'Data Input 1'!$G$30,IF($Q159&lt;='Data Input 1'!$D$31,'Data Input 1'!$G$31,IF($Q159&lt;='Data Input 1'!$D$32,'Data Input 1'!$G$32,MAX('Data Input 1'!$G$29:$G$33))))))</f>
        <v>4.25</v>
      </c>
      <c r="U159" s="235">
        <f t="shared" si="20"/>
        <v>100.75</v>
      </c>
      <c r="V159" s="236">
        <f t="shared" si="18"/>
        <v>0.22121212121212122</v>
      </c>
    </row>
    <row r="160" spans="17:22" x14ac:dyDescent="0.2">
      <c r="Q160" s="233">
        <v>20000</v>
      </c>
      <c r="R160" s="234">
        <f>IF($Q160&lt;='Data Input 1'!$B$29,0,IF($Q160&lt;='Data Input 1'!$D$29,'Data Input 1'!$F$29,IF($Q160&lt;='Data Input 1'!$D$30,'Data Input 1'!$F$30,IF($Q160&lt;='Data Input 1'!$D$31,'Data Input 1'!$F$31,IF($Q160&lt;='Data Input 1'!$D$32,'Data Input 1'!$F$32,MAX('Data Input 1'!$F$29:$F$33))))))</f>
        <v>3.5</v>
      </c>
      <c r="S160" s="235">
        <f t="shared" si="19"/>
        <v>86</v>
      </c>
      <c r="T160" s="234">
        <f>IF($Q160&lt;='Data Input 1'!$B$29,0,IF($Q160&lt;='Data Input 1'!$D$29,'Data Input 1'!$G$29,IF($Q160&lt;='Data Input 1'!$D$30,'Data Input 1'!$G$30,IF($Q160&lt;='Data Input 1'!$D$31,'Data Input 1'!$G$31,IF($Q160&lt;='Data Input 1'!$D$32,'Data Input 1'!$G$32,MAX('Data Input 1'!$G$29:$G$33))))))</f>
        <v>4.25</v>
      </c>
      <c r="U160" s="235">
        <f t="shared" si="20"/>
        <v>105</v>
      </c>
      <c r="V160" s="236">
        <f t="shared" si="18"/>
        <v>0.22093023255813954</v>
      </c>
    </row>
    <row r="161" spans="17:22" x14ac:dyDescent="0.2">
      <c r="Q161" s="233">
        <v>21000</v>
      </c>
      <c r="R161" s="234">
        <f>IF($Q161&lt;='Data Input 1'!$B$29,0,IF($Q161&lt;='Data Input 1'!$D$29,'Data Input 1'!$F$29,IF($Q161&lt;='Data Input 1'!$D$30,'Data Input 1'!$F$30,IF($Q161&lt;='Data Input 1'!$D$31,'Data Input 1'!$F$31,IF($Q161&lt;='Data Input 1'!$D$32,'Data Input 1'!$F$32,MAX('Data Input 1'!$F$29:$F$33))))))</f>
        <v>3.5</v>
      </c>
      <c r="S161" s="235">
        <f t="shared" si="19"/>
        <v>89.5</v>
      </c>
      <c r="T161" s="234">
        <f>IF($Q161&lt;='Data Input 1'!$B$29,0,IF($Q161&lt;='Data Input 1'!$D$29,'Data Input 1'!$G$29,IF($Q161&lt;='Data Input 1'!$D$30,'Data Input 1'!$G$30,IF($Q161&lt;='Data Input 1'!$D$31,'Data Input 1'!$G$31,IF($Q161&lt;='Data Input 1'!$D$32,'Data Input 1'!$G$32,MAX('Data Input 1'!$G$29:$G$33))))))</f>
        <v>4.25</v>
      </c>
      <c r="U161" s="235">
        <f t="shared" si="20"/>
        <v>109.25</v>
      </c>
      <c r="V161" s="236">
        <f t="shared" si="18"/>
        <v>0.2206703910614525</v>
      </c>
    </row>
    <row r="162" spans="17:22" x14ac:dyDescent="0.2">
      <c r="Q162" s="233">
        <v>22000</v>
      </c>
      <c r="R162" s="234">
        <f>IF($Q162&lt;='Data Input 1'!$B$29,0,IF($Q162&lt;='Data Input 1'!$D$29,'Data Input 1'!$F$29,IF($Q162&lt;='Data Input 1'!$D$30,'Data Input 1'!$F$30,IF($Q162&lt;='Data Input 1'!$D$31,'Data Input 1'!$F$31,IF($Q162&lt;='Data Input 1'!$D$32,'Data Input 1'!$F$32,MAX('Data Input 1'!$F$29:$F$33))))))</f>
        <v>3.5</v>
      </c>
      <c r="S162" s="235">
        <f t="shared" si="19"/>
        <v>93</v>
      </c>
      <c r="T162" s="234">
        <f>IF($Q162&lt;='Data Input 1'!$B$29,0,IF($Q162&lt;='Data Input 1'!$D$29,'Data Input 1'!$G$29,IF($Q162&lt;='Data Input 1'!$D$30,'Data Input 1'!$G$30,IF($Q162&lt;='Data Input 1'!$D$31,'Data Input 1'!$G$31,IF($Q162&lt;='Data Input 1'!$D$32,'Data Input 1'!$G$32,MAX('Data Input 1'!$G$29:$G$33))))))</f>
        <v>4.25</v>
      </c>
      <c r="U162" s="235">
        <f t="shared" si="20"/>
        <v>113.5</v>
      </c>
      <c r="V162" s="236">
        <f t="shared" si="18"/>
        <v>0.22043010752688172</v>
      </c>
    </row>
    <row r="163" spans="17:22" x14ac:dyDescent="0.2">
      <c r="Q163" s="233">
        <v>23000</v>
      </c>
      <c r="R163" s="234">
        <f>IF($Q163&lt;='Data Input 1'!$B$29,0,IF($Q163&lt;='Data Input 1'!$D$29,'Data Input 1'!$F$29,IF($Q163&lt;='Data Input 1'!$D$30,'Data Input 1'!$F$30,IF($Q163&lt;='Data Input 1'!$D$31,'Data Input 1'!$F$31,IF($Q163&lt;='Data Input 1'!$D$32,'Data Input 1'!$F$32,MAX('Data Input 1'!$F$29:$F$33))))))</f>
        <v>3.5</v>
      </c>
      <c r="S163" s="235">
        <f t="shared" si="19"/>
        <v>96.5</v>
      </c>
      <c r="T163" s="234">
        <f>IF($Q163&lt;='Data Input 1'!$B$29,0,IF($Q163&lt;='Data Input 1'!$D$29,'Data Input 1'!$G$29,IF($Q163&lt;='Data Input 1'!$D$30,'Data Input 1'!$G$30,IF($Q163&lt;='Data Input 1'!$D$31,'Data Input 1'!$G$31,IF($Q163&lt;='Data Input 1'!$D$32,'Data Input 1'!$G$32,MAX('Data Input 1'!$G$29:$G$33))))))</f>
        <v>4.25</v>
      </c>
      <c r="U163" s="235">
        <f t="shared" si="20"/>
        <v>117.75</v>
      </c>
      <c r="V163" s="236">
        <f t="shared" si="18"/>
        <v>0.22020725388601037</v>
      </c>
    </row>
    <row r="164" spans="17:22" x14ac:dyDescent="0.2">
      <c r="Q164" s="233">
        <v>24000</v>
      </c>
      <c r="R164" s="234">
        <f>IF($Q164&lt;='Data Input 1'!$B$29,0,IF($Q164&lt;='Data Input 1'!$D$29,'Data Input 1'!$F$29,IF($Q164&lt;='Data Input 1'!$D$30,'Data Input 1'!$F$30,IF($Q164&lt;='Data Input 1'!$D$31,'Data Input 1'!$F$31,IF($Q164&lt;='Data Input 1'!$D$32,'Data Input 1'!$F$32,MAX('Data Input 1'!$F$29:$F$33))))))</f>
        <v>3.5</v>
      </c>
      <c r="S164" s="235">
        <f t="shared" si="19"/>
        <v>100</v>
      </c>
      <c r="T164" s="234">
        <f>IF($Q164&lt;='Data Input 1'!$B$29,0,IF($Q164&lt;='Data Input 1'!$D$29,'Data Input 1'!$G$29,IF($Q164&lt;='Data Input 1'!$D$30,'Data Input 1'!$G$30,IF($Q164&lt;='Data Input 1'!$D$31,'Data Input 1'!$G$31,IF($Q164&lt;='Data Input 1'!$D$32,'Data Input 1'!$G$32,MAX('Data Input 1'!$G$29:$G$33))))))</f>
        <v>4.25</v>
      </c>
      <c r="U164" s="235">
        <f t="shared" si="20"/>
        <v>122</v>
      </c>
      <c r="V164" s="236">
        <f t="shared" si="18"/>
        <v>0.22</v>
      </c>
    </row>
    <row r="165" spans="17:22" x14ac:dyDescent="0.2">
      <c r="Q165" s="233">
        <v>25000</v>
      </c>
      <c r="R165" s="234">
        <f>IF($Q165&lt;='Data Input 1'!$B$29,0,IF($Q165&lt;='Data Input 1'!$D$29,'Data Input 1'!$F$29,IF($Q165&lt;='Data Input 1'!$D$30,'Data Input 1'!$F$30,IF($Q165&lt;='Data Input 1'!$D$31,'Data Input 1'!$F$31,IF($Q165&lt;='Data Input 1'!$D$32,'Data Input 1'!$F$32,MAX('Data Input 1'!$F$29:$F$33))))))</f>
        <v>3.5</v>
      </c>
      <c r="S165" s="235">
        <f t="shared" si="19"/>
        <v>103.5</v>
      </c>
      <c r="T165" s="234">
        <f>IF($Q165&lt;='Data Input 1'!$B$29,0,IF($Q165&lt;='Data Input 1'!$D$29,'Data Input 1'!$G$29,IF($Q165&lt;='Data Input 1'!$D$30,'Data Input 1'!$G$30,IF($Q165&lt;='Data Input 1'!$D$31,'Data Input 1'!$G$31,IF($Q165&lt;='Data Input 1'!$D$32,'Data Input 1'!$G$32,MAX('Data Input 1'!$G$29:$G$33))))))</f>
        <v>4.25</v>
      </c>
      <c r="U165" s="235">
        <f t="shared" si="20"/>
        <v>126.25</v>
      </c>
      <c r="V165" s="236">
        <f t="shared" si="18"/>
        <v>0.21980676328502416</v>
      </c>
    </row>
    <row r="166" spans="17:22" x14ac:dyDescent="0.2">
      <c r="Q166" s="233">
        <v>26000</v>
      </c>
      <c r="R166" s="234">
        <f>IF($Q166&lt;='Data Input 1'!$B$29,0,IF($Q166&lt;='Data Input 1'!$D$29,'Data Input 1'!$F$29,IF($Q166&lt;='Data Input 1'!$D$30,'Data Input 1'!$F$30,IF($Q166&lt;='Data Input 1'!$D$31,'Data Input 1'!$F$31,IF($Q166&lt;='Data Input 1'!$D$32,'Data Input 1'!$F$32,MAX('Data Input 1'!$F$29:$F$33))))))</f>
        <v>3.5</v>
      </c>
      <c r="S166" s="235">
        <f t="shared" si="19"/>
        <v>107</v>
      </c>
      <c r="T166" s="234">
        <f>IF($Q166&lt;='Data Input 1'!$B$29,0,IF($Q166&lt;='Data Input 1'!$D$29,'Data Input 1'!$G$29,IF($Q166&lt;='Data Input 1'!$D$30,'Data Input 1'!$G$30,IF($Q166&lt;='Data Input 1'!$D$31,'Data Input 1'!$G$31,IF($Q166&lt;='Data Input 1'!$D$32,'Data Input 1'!$G$32,MAX('Data Input 1'!$G$29:$G$33))))))</f>
        <v>4.25</v>
      </c>
      <c r="U166" s="235">
        <f t="shared" si="20"/>
        <v>130.5</v>
      </c>
      <c r="V166" s="236">
        <f t="shared" si="18"/>
        <v>0.21962616822429906</v>
      </c>
    </row>
    <row r="167" spans="17:22" x14ac:dyDescent="0.2">
      <c r="Q167" s="233">
        <v>27000</v>
      </c>
      <c r="R167" s="234">
        <f>IF($Q167&lt;='Data Input 1'!$B$29,0,IF($Q167&lt;='Data Input 1'!$D$29,'Data Input 1'!$F$29,IF($Q167&lt;='Data Input 1'!$D$30,'Data Input 1'!$F$30,IF($Q167&lt;='Data Input 1'!$D$31,'Data Input 1'!$F$31,IF($Q167&lt;='Data Input 1'!$D$32,'Data Input 1'!$F$32,MAX('Data Input 1'!$F$29:$F$33))))))</f>
        <v>3.5</v>
      </c>
      <c r="S167" s="235">
        <f t="shared" si="19"/>
        <v>110.5</v>
      </c>
      <c r="T167" s="234">
        <f>IF($Q167&lt;='Data Input 1'!$B$29,0,IF($Q167&lt;='Data Input 1'!$D$29,'Data Input 1'!$G$29,IF($Q167&lt;='Data Input 1'!$D$30,'Data Input 1'!$G$30,IF($Q167&lt;='Data Input 1'!$D$31,'Data Input 1'!$G$31,IF($Q167&lt;='Data Input 1'!$D$32,'Data Input 1'!$G$32,MAX('Data Input 1'!$G$29:$G$33))))))</f>
        <v>4.25</v>
      </c>
      <c r="U167" s="235">
        <f t="shared" si="20"/>
        <v>134.75</v>
      </c>
      <c r="V167" s="236">
        <f t="shared" si="18"/>
        <v>0.21945701357466063</v>
      </c>
    </row>
    <row r="168" spans="17:22" x14ac:dyDescent="0.2">
      <c r="Q168" s="233">
        <v>28000</v>
      </c>
      <c r="R168" s="234">
        <f>IF($Q168&lt;='Data Input 1'!$B$29,0,IF($Q168&lt;='Data Input 1'!$D$29,'Data Input 1'!$F$29,IF($Q168&lt;='Data Input 1'!$D$30,'Data Input 1'!$F$30,IF($Q168&lt;='Data Input 1'!$D$31,'Data Input 1'!$F$31,IF($Q168&lt;='Data Input 1'!$D$32,'Data Input 1'!$F$32,MAX('Data Input 1'!$F$29:$F$33))))))</f>
        <v>3.5</v>
      </c>
      <c r="S168" s="235">
        <f t="shared" si="19"/>
        <v>114</v>
      </c>
      <c r="T168" s="234">
        <f>IF($Q168&lt;='Data Input 1'!$B$29,0,IF($Q168&lt;='Data Input 1'!$D$29,'Data Input 1'!$G$29,IF($Q168&lt;='Data Input 1'!$D$30,'Data Input 1'!$G$30,IF($Q168&lt;='Data Input 1'!$D$31,'Data Input 1'!$G$31,IF($Q168&lt;='Data Input 1'!$D$32,'Data Input 1'!$G$32,MAX('Data Input 1'!$G$29:$G$33))))))</f>
        <v>4.25</v>
      </c>
      <c r="U168" s="235">
        <f t="shared" si="20"/>
        <v>139</v>
      </c>
      <c r="V168" s="236">
        <f t="shared" si="18"/>
        <v>0.21929824561403508</v>
      </c>
    </row>
    <row r="169" spans="17:22" x14ac:dyDescent="0.2">
      <c r="Q169" s="233">
        <v>29000</v>
      </c>
      <c r="R169" s="234">
        <f>IF($Q169&lt;='Data Input 1'!$B$29,0,IF($Q169&lt;='Data Input 1'!$D$29,'Data Input 1'!$F$29,IF($Q169&lt;='Data Input 1'!$D$30,'Data Input 1'!$F$30,IF($Q169&lt;='Data Input 1'!$D$31,'Data Input 1'!$F$31,IF($Q169&lt;='Data Input 1'!$D$32,'Data Input 1'!$F$32,MAX('Data Input 1'!$F$29:$F$33))))))</f>
        <v>3.5</v>
      </c>
      <c r="S169" s="235">
        <f t="shared" si="19"/>
        <v>117.5</v>
      </c>
      <c r="T169" s="234">
        <f>IF($Q169&lt;='Data Input 1'!$B$29,0,IF($Q169&lt;='Data Input 1'!$D$29,'Data Input 1'!$G$29,IF($Q169&lt;='Data Input 1'!$D$30,'Data Input 1'!$G$30,IF($Q169&lt;='Data Input 1'!$D$31,'Data Input 1'!$G$31,IF($Q169&lt;='Data Input 1'!$D$32,'Data Input 1'!$G$32,MAX('Data Input 1'!$G$29:$G$33))))))</f>
        <v>4.25</v>
      </c>
      <c r="U169" s="235">
        <f t="shared" si="20"/>
        <v>143.25</v>
      </c>
      <c r="V169" s="236">
        <f t="shared" si="18"/>
        <v>0.21914893617021278</v>
      </c>
    </row>
    <row r="170" spans="17:22" x14ac:dyDescent="0.2">
      <c r="Q170" s="233">
        <v>30000</v>
      </c>
      <c r="R170" s="234">
        <f>IF($Q170&lt;='Data Input 1'!$B$29,0,IF($Q170&lt;='Data Input 1'!$D$29,'Data Input 1'!$F$29,IF($Q170&lt;='Data Input 1'!$D$30,'Data Input 1'!$F$30,IF($Q170&lt;='Data Input 1'!$D$31,'Data Input 1'!$F$31,IF($Q170&lt;='Data Input 1'!$D$32,'Data Input 1'!$F$32,MAX('Data Input 1'!$F$29:$F$33))))))</f>
        <v>3.5</v>
      </c>
      <c r="S170" s="235">
        <f t="shared" si="19"/>
        <v>121</v>
      </c>
      <c r="T170" s="234">
        <f>IF($Q170&lt;='Data Input 1'!$B$29,0,IF($Q170&lt;='Data Input 1'!$D$29,'Data Input 1'!$G$29,IF($Q170&lt;='Data Input 1'!$D$30,'Data Input 1'!$G$30,IF($Q170&lt;='Data Input 1'!$D$31,'Data Input 1'!$G$31,IF($Q170&lt;='Data Input 1'!$D$32,'Data Input 1'!$G$32,MAX('Data Input 1'!$G$29:$G$33))))))</f>
        <v>4.25</v>
      </c>
      <c r="U170" s="235">
        <f t="shared" si="20"/>
        <v>147.5</v>
      </c>
      <c r="V170" s="236">
        <f t="shared" si="18"/>
        <v>0.21900826446280991</v>
      </c>
    </row>
    <row r="171" spans="17:22" x14ac:dyDescent="0.2">
      <c r="Q171" s="233">
        <v>31000</v>
      </c>
      <c r="R171" s="234">
        <f>IF($Q171&lt;='Data Input 1'!$B$29,0,IF($Q171&lt;='Data Input 1'!$D$29,'Data Input 1'!$F$29,IF($Q171&lt;='Data Input 1'!$D$30,'Data Input 1'!$F$30,IF($Q171&lt;='Data Input 1'!$D$31,'Data Input 1'!$F$31,IF($Q171&lt;='Data Input 1'!$D$32,'Data Input 1'!$F$32,MAX('Data Input 1'!$F$29:$F$33))))))</f>
        <v>3.5</v>
      </c>
      <c r="S171" s="235">
        <f t="shared" si="19"/>
        <v>124.5</v>
      </c>
      <c r="T171" s="234">
        <f>IF($Q171&lt;='Data Input 1'!$B$29,0,IF($Q171&lt;='Data Input 1'!$D$29,'Data Input 1'!$G$29,IF($Q171&lt;='Data Input 1'!$D$30,'Data Input 1'!$G$30,IF($Q171&lt;='Data Input 1'!$D$31,'Data Input 1'!$G$31,IF($Q171&lt;='Data Input 1'!$D$32,'Data Input 1'!$G$32,MAX('Data Input 1'!$G$29:$G$33))))))</f>
        <v>4.25</v>
      </c>
      <c r="U171" s="235">
        <f t="shared" si="20"/>
        <v>151.75</v>
      </c>
      <c r="V171" s="236">
        <f t="shared" si="18"/>
        <v>0.21887550200803213</v>
      </c>
    </row>
    <row r="172" spans="17:22" x14ac:dyDescent="0.2">
      <c r="Q172" s="233">
        <v>32000</v>
      </c>
      <c r="R172" s="234">
        <f>IF($Q172&lt;='Data Input 1'!$B$29,0,IF($Q172&lt;='Data Input 1'!$D$29,'Data Input 1'!$F$29,IF($Q172&lt;='Data Input 1'!$D$30,'Data Input 1'!$F$30,IF($Q172&lt;='Data Input 1'!$D$31,'Data Input 1'!$F$31,IF($Q172&lt;='Data Input 1'!$D$32,'Data Input 1'!$F$32,MAX('Data Input 1'!$F$29:$F$33))))))</f>
        <v>3.5</v>
      </c>
      <c r="S172" s="235">
        <f t="shared" si="19"/>
        <v>128</v>
      </c>
      <c r="T172" s="234">
        <f>IF($Q172&lt;='Data Input 1'!$B$29,0,IF($Q172&lt;='Data Input 1'!$D$29,'Data Input 1'!$G$29,IF($Q172&lt;='Data Input 1'!$D$30,'Data Input 1'!$G$30,IF($Q172&lt;='Data Input 1'!$D$31,'Data Input 1'!$G$31,IF($Q172&lt;='Data Input 1'!$D$32,'Data Input 1'!$G$32,MAX('Data Input 1'!$G$29:$G$33))))))</f>
        <v>4.25</v>
      </c>
      <c r="U172" s="235">
        <f t="shared" si="20"/>
        <v>156</v>
      </c>
      <c r="V172" s="236">
        <f t="shared" si="18"/>
        <v>0.21875</v>
      </c>
    </row>
    <row r="173" spans="17:22" x14ac:dyDescent="0.2">
      <c r="Q173" s="233">
        <v>33000</v>
      </c>
      <c r="R173" s="234">
        <f>IF($Q173&lt;='Data Input 1'!$B$29,0,IF($Q173&lt;='Data Input 1'!$D$29,'Data Input 1'!$F$29,IF($Q173&lt;='Data Input 1'!$D$30,'Data Input 1'!$F$30,IF($Q173&lt;='Data Input 1'!$D$31,'Data Input 1'!$F$31,IF($Q173&lt;='Data Input 1'!$D$32,'Data Input 1'!$F$32,MAX('Data Input 1'!$F$29:$F$33))))))</f>
        <v>3.5</v>
      </c>
      <c r="S173" s="235">
        <f t="shared" si="19"/>
        <v>131.5</v>
      </c>
      <c r="T173" s="234">
        <f>IF($Q173&lt;='Data Input 1'!$B$29,0,IF($Q173&lt;='Data Input 1'!$D$29,'Data Input 1'!$G$29,IF($Q173&lt;='Data Input 1'!$D$30,'Data Input 1'!$G$30,IF($Q173&lt;='Data Input 1'!$D$31,'Data Input 1'!$G$31,IF($Q173&lt;='Data Input 1'!$D$32,'Data Input 1'!$G$32,MAX('Data Input 1'!$G$29:$G$33))))))</f>
        <v>4.25</v>
      </c>
      <c r="U173" s="235">
        <f t="shared" si="20"/>
        <v>160.25</v>
      </c>
      <c r="V173" s="236">
        <f t="shared" si="18"/>
        <v>0.21863117870722434</v>
      </c>
    </row>
    <row r="174" spans="17:22" x14ac:dyDescent="0.2">
      <c r="Q174" s="233">
        <v>34000</v>
      </c>
      <c r="R174" s="234">
        <f>IF($Q174&lt;='Data Input 1'!$B$29,0,IF($Q174&lt;='Data Input 1'!$D$29,'Data Input 1'!$F$29,IF($Q174&lt;='Data Input 1'!$D$30,'Data Input 1'!$F$30,IF($Q174&lt;='Data Input 1'!$D$31,'Data Input 1'!$F$31,IF($Q174&lt;='Data Input 1'!$D$32,'Data Input 1'!$F$32,MAX('Data Input 1'!$F$29:$F$33))))))</f>
        <v>3.5</v>
      </c>
      <c r="S174" s="235">
        <f t="shared" si="19"/>
        <v>135</v>
      </c>
      <c r="T174" s="234">
        <f>IF($Q174&lt;='Data Input 1'!$B$29,0,IF($Q174&lt;='Data Input 1'!$D$29,'Data Input 1'!$G$29,IF($Q174&lt;='Data Input 1'!$D$30,'Data Input 1'!$G$30,IF($Q174&lt;='Data Input 1'!$D$31,'Data Input 1'!$G$31,IF($Q174&lt;='Data Input 1'!$D$32,'Data Input 1'!$G$32,MAX('Data Input 1'!$G$29:$G$33))))))</f>
        <v>4.25</v>
      </c>
      <c r="U174" s="235">
        <f t="shared" si="20"/>
        <v>164.5</v>
      </c>
      <c r="V174" s="236">
        <f t="shared" si="18"/>
        <v>0.21851851851851853</v>
      </c>
    </row>
    <row r="175" spans="17:22" x14ac:dyDescent="0.2">
      <c r="Q175" s="233">
        <v>35000</v>
      </c>
      <c r="R175" s="234">
        <f>IF($Q175&lt;='Data Input 1'!$B$29,0,IF($Q175&lt;='Data Input 1'!$D$29,'Data Input 1'!$F$29,IF($Q175&lt;='Data Input 1'!$D$30,'Data Input 1'!$F$30,IF($Q175&lt;='Data Input 1'!$D$31,'Data Input 1'!$F$31,IF($Q175&lt;='Data Input 1'!$D$32,'Data Input 1'!$F$32,MAX('Data Input 1'!$F$29:$F$33))))))</f>
        <v>3.5</v>
      </c>
      <c r="S175" s="235">
        <f t="shared" si="19"/>
        <v>138.5</v>
      </c>
      <c r="T175" s="234">
        <f>IF($Q175&lt;='Data Input 1'!$B$29,0,IF($Q175&lt;='Data Input 1'!$D$29,'Data Input 1'!$G$29,IF($Q175&lt;='Data Input 1'!$D$30,'Data Input 1'!$G$30,IF($Q175&lt;='Data Input 1'!$D$31,'Data Input 1'!$G$31,IF($Q175&lt;='Data Input 1'!$D$32,'Data Input 1'!$G$32,MAX('Data Input 1'!$G$29:$G$33))))))</f>
        <v>4.25</v>
      </c>
      <c r="U175" s="235">
        <f t="shared" si="20"/>
        <v>168.75</v>
      </c>
      <c r="V175" s="236">
        <f t="shared" si="18"/>
        <v>0.21841155234657039</v>
      </c>
    </row>
    <row r="176" spans="17:22" x14ac:dyDescent="0.2">
      <c r="Q176" s="233">
        <v>36000</v>
      </c>
      <c r="R176" s="234">
        <f>IF($Q176&lt;='Data Input 1'!$B$29,0,IF($Q176&lt;='Data Input 1'!$D$29,'Data Input 1'!$F$29,IF($Q176&lt;='Data Input 1'!$D$30,'Data Input 1'!$F$30,IF($Q176&lt;='Data Input 1'!$D$31,'Data Input 1'!$F$31,IF($Q176&lt;='Data Input 1'!$D$32,'Data Input 1'!$F$32,MAX('Data Input 1'!$F$29:$F$33))))))</f>
        <v>3.5</v>
      </c>
      <c r="S176" s="235">
        <f t="shared" si="19"/>
        <v>142</v>
      </c>
      <c r="T176" s="234">
        <f>IF($Q176&lt;='Data Input 1'!$B$29,0,IF($Q176&lt;='Data Input 1'!$D$29,'Data Input 1'!$G$29,IF($Q176&lt;='Data Input 1'!$D$30,'Data Input 1'!$G$30,IF($Q176&lt;='Data Input 1'!$D$31,'Data Input 1'!$G$31,IF($Q176&lt;='Data Input 1'!$D$32,'Data Input 1'!$G$32,MAX('Data Input 1'!$G$29:$G$33))))))</f>
        <v>4.25</v>
      </c>
      <c r="U176" s="235">
        <f t="shared" si="20"/>
        <v>173</v>
      </c>
      <c r="V176" s="236">
        <f t="shared" si="18"/>
        <v>0.21830985915492956</v>
      </c>
    </row>
    <row r="177" spans="17:22" x14ac:dyDescent="0.2">
      <c r="Q177" s="233">
        <v>37000</v>
      </c>
      <c r="R177" s="234">
        <f>IF($Q177&lt;='Data Input 1'!$B$29,0,IF($Q177&lt;='Data Input 1'!$D$29,'Data Input 1'!$F$29,IF($Q177&lt;='Data Input 1'!$D$30,'Data Input 1'!$F$30,IF($Q177&lt;='Data Input 1'!$D$31,'Data Input 1'!$F$31,IF($Q177&lt;='Data Input 1'!$D$32,'Data Input 1'!$F$32,MAX('Data Input 1'!$F$29:$F$33))))))</f>
        <v>3.5</v>
      </c>
      <c r="S177" s="235">
        <f t="shared" si="19"/>
        <v>145.5</v>
      </c>
      <c r="T177" s="234">
        <f>IF($Q177&lt;='Data Input 1'!$B$29,0,IF($Q177&lt;='Data Input 1'!$D$29,'Data Input 1'!$G$29,IF($Q177&lt;='Data Input 1'!$D$30,'Data Input 1'!$G$30,IF($Q177&lt;='Data Input 1'!$D$31,'Data Input 1'!$G$31,IF($Q177&lt;='Data Input 1'!$D$32,'Data Input 1'!$G$32,MAX('Data Input 1'!$G$29:$G$33))))))</f>
        <v>4.25</v>
      </c>
      <c r="U177" s="235">
        <f t="shared" si="20"/>
        <v>177.25</v>
      </c>
      <c r="V177" s="236">
        <f t="shared" si="18"/>
        <v>0.21821305841924399</v>
      </c>
    </row>
    <row r="178" spans="17:22" x14ac:dyDescent="0.2">
      <c r="Q178" s="233">
        <v>38000</v>
      </c>
      <c r="R178" s="234">
        <f>IF($Q178&lt;='Data Input 1'!$B$29,0,IF($Q178&lt;='Data Input 1'!$D$29,'Data Input 1'!$F$29,IF($Q178&lt;='Data Input 1'!$D$30,'Data Input 1'!$F$30,IF($Q178&lt;='Data Input 1'!$D$31,'Data Input 1'!$F$31,IF($Q178&lt;='Data Input 1'!$D$32,'Data Input 1'!$F$32,MAX('Data Input 1'!$F$29:$F$33))))))</f>
        <v>3.5</v>
      </c>
      <c r="S178" s="235">
        <f t="shared" si="19"/>
        <v>149</v>
      </c>
      <c r="T178" s="234">
        <f>IF($Q178&lt;='Data Input 1'!$B$29,0,IF($Q178&lt;='Data Input 1'!$D$29,'Data Input 1'!$G$29,IF($Q178&lt;='Data Input 1'!$D$30,'Data Input 1'!$G$30,IF($Q178&lt;='Data Input 1'!$D$31,'Data Input 1'!$G$31,IF($Q178&lt;='Data Input 1'!$D$32,'Data Input 1'!$G$32,MAX('Data Input 1'!$G$29:$G$33))))))</f>
        <v>4.25</v>
      </c>
      <c r="U178" s="235">
        <f t="shared" si="20"/>
        <v>181.5</v>
      </c>
      <c r="V178" s="236">
        <f t="shared" si="18"/>
        <v>0.21812080536912751</v>
      </c>
    </row>
    <row r="179" spans="17:22" x14ac:dyDescent="0.2">
      <c r="Q179" s="233">
        <v>39000</v>
      </c>
      <c r="R179" s="234">
        <f>IF($Q179&lt;='Data Input 1'!$B$29,0,IF($Q179&lt;='Data Input 1'!$D$29,'Data Input 1'!$F$29,IF($Q179&lt;='Data Input 1'!$D$30,'Data Input 1'!$F$30,IF($Q179&lt;='Data Input 1'!$D$31,'Data Input 1'!$F$31,IF($Q179&lt;='Data Input 1'!$D$32,'Data Input 1'!$F$32,MAX('Data Input 1'!$F$29:$F$33))))))</f>
        <v>3.5</v>
      </c>
      <c r="S179" s="235">
        <f t="shared" si="19"/>
        <v>152.5</v>
      </c>
      <c r="T179" s="234">
        <f>IF($Q179&lt;='Data Input 1'!$B$29,0,IF($Q179&lt;='Data Input 1'!$D$29,'Data Input 1'!$G$29,IF($Q179&lt;='Data Input 1'!$D$30,'Data Input 1'!$G$30,IF($Q179&lt;='Data Input 1'!$D$31,'Data Input 1'!$G$31,IF($Q179&lt;='Data Input 1'!$D$32,'Data Input 1'!$G$32,MAX('Data Input 1'!$G$29:$G$33))))))</f>
        <v>4.25</v>
      </c>
      <c r="U179" s="235">
        <f t="shared" si="20"/>
        <v>185.75</v>
      </c>
      <c r="V179" s="236">
        <f t="shared" si="18"/>
        <v>0.21803278688524591</v>
      </c>
    </row>
    <row r="180" spans="17:22" x14ac:dyDescent="0.2">
      <c r="Q180" s="233">
        <v>40000</v>
      </c>
      <c r="R180" s="234">
        <f>IF($Q180&lt;='Data Input 1'!$B$29,0,IF($Q180&lt;='Data Input 1'!$D$29,'Data Input 1'!$F$29,IF($Q180&lt;='Data Input 1'!$D$30,'Data Input 1'!$F$30,IF($Q180&lt;='Data Input 1'!$D$31,'Data Input 1'!$F$31,IF($Q180&lt;='Data Input 1'!$D$32,'Data Input 1'!$F$32,MAX('Data Input 1'!$F$29:$F$33))))))</f>
        <v>3.5</v>
      </c>
      <c r="S180" s="235">
        <f t="shared" si="19"/>
        <v>156</v>
      </c>
      <c r="T180" s="234">
        <f>IF($Q180&lt;='Data Input 1'!$B$29,0,IF($Q180&lt;='Data Input 1'!$D$29,'Data Input 1'!$G$29,IF($Q180&lt;='Data Input 1'!$D$30,'Data Input 1'!$G$30,IF($Q180&lt;='Data Input 1'!$D$31,'Data Input 1'!$G$31,IF($Q180&lt;='Data Input 1'!$D$32,'Data Input 1'!$G$32,MAX('Data Input 1'!$G$29:$G$33))))))</f>
        <v>4.25</v>
      </c>
      <c r="U180" s="235">
        <f t="shared" si="20"/>
        <v>190</v>
      </c>
      <c r="V180" s="236">
        <f t="shared" si="18"/>
        <v>0.21794871794871795</v>
      </c>
    </row>
    <row r="181" spans="17:22" x14ac:dyDescent="0.2">
      <c r="Q181" s="233">
        <v>41000</v>
      </c>
      <c r="R181" s="234">
        <f>IF($Q181&lt;='Data Input 1'!$B$29,0,IF($Q181&lt;='Data Input 1'!$D$29,'Data Input 1'!$F$29,IF($Q181&lt;='Data Input 1'!$D$30,'Data Input 1'!$F$30,IF($Q181&lt;='Data Input 1'!$D$31,'Data Input 1'!$F$31,IF($Q181&lt;='Data Input 1'!$D$32,'Data Input 1'!$F$32,MAX('Data Input 1'!$F$29:$F$33))))))</f>
        <v>3.5</v>
      </c>
      <c r="S181" s="235">
        <f t="shared" si="19"/>
        <v>159.5</v>
      </c>
      <c r="T181" s="234">
        <f>IF($Q181&lt;='Data Input 1'!$B$29,0,IF($Q181&lt;='Data Input 1'!$D$29,'Data Input 1'!$G$29,IF($Q181&lt;='Data Input 1'!$D$30,'Data Input 1'!$G$30,IF($Q181&lt;='Data Input 1'!$D$31,'Data Input 1'!$G$31,IF($Q181&lt;='Data Input 1'!$D$32,'Data Input 1'!$G$32,MAX('Data Input 1'!$G$29:$G$33))))))</f>
        <v>4.25</v>
      </c>
      <c r="U181" s="235">
        <f t="shared" si="20"/>
        <v>194.25</v>
      </c>
      <c r="V181" s="236">
        <f t="shared" si="18"/>
        <v>0.21786833855799373</v>
      </c>
    </row>
    <row r="182" spans="17:22" x14ac:dyDescent="0.2">
      <c r="Q182" s="233">
        <v>42000</v>
      </c>
      <c r="R182" s="234">
        <f>IF($Q182&lt;='Data Input 1'!$B$29,0,IF($Q182&lt;='Data Input 1'!$D$29,'Data Input 1'!$F$29,IF($Q182&lt;='Data Input 1'!$D$30,'Data Input 1'!$F$30,IF($Q182&lt;='Data Input 1'!$D$31,'Data Input 1'!$F$31,IF($Q182&lt;='Data Input 1'!$D$32,'Data Input 1'!$F$32,MAX('Data Input 1'!$F$29:$F$33))))))</f>
        <v>3.5</v>
      </c>
      <c r="S182" s="235">
        <f t="shared" si="19"/>
        <v>163</v>
      </c>
      <c r="T182" s="234">
        <f>IF($Q182&lt;='Data Input 1'!$B$29,0,IF($Q182&lt;='Data Input 1'!$D$29,'Data Input 1'!$G$29,IF($Q182&lt;='Data Input 1'!$D$30,'Data Input 1'!$G$30,IF($Q182&lt;='Data Input 1'!$D$31,'Data Input 1'!$G$31,IF($Q182&lt;='Data Input 1'!$D$32,'Data Input 1'!$G$32,MAX('Data Input 1'!$G$29:$G$33))))))</f>
        <v>4.25</v>
      </c>
      <c r="U182" s="235">
        <f t="shared" si="20"/>
        <v>198.5</v>
      </c>
      <c r="V182" s="236">
        <f t="shared" si="18"/>
        <v>0.21779141104294478</v>
      </c>
    </row>
    <row r="183" spans="17:22" x14ac:dyDescent="0.2">
      <c r="Q183" s="233">
        <v>43000</v>
      </c>
      <c r="R183" s="234">
        <f>IF($Q183&lt;='Data Input 1'!$B$29,0,IF($Q183&lt;='Data Input 1'!$D$29,'Data Input 1'!$F$29,IF($Q183&lt;='Data Input 1'!$D$30,'Data Input 1'!$F$30,IF($Q183&lt;='Data Input 1'!$D$31,'Data Input 1'!$F$31,IF($Q183&lt;='Data Input 1'!$D$32,'Data Input 1'!$F$32,MAX('Data Input 1'!$F$29:$F$33))))))</f>
        <v>3.5</v>
      </c>
      <c r="S183" s="235">
        <f t="shared" si="19"/>
        <v>166.5</v>
      </c>
      <c r="T183" s="234">
        <f>IF($Q183&lt;='Data Input 1'!$B$29,0,IF($Q183&lt;='Data Input 1'!$D$29,'Data Input 1'!$G$29,IF($Q183&lt;='Data Input 1'!$D$30,'Data Input 1'!$G$30,IF($Q183&lt;='Data Input 1'!$D$31,'Data Input 1'!$G$31,IF($Q183&lt;='Data Input 1'!$D$32,'Data Input 1'!$G$32,MAX('Data Input 1'!$G$29:$G$33))))))</f>
        <v>4.25</v>
      </c>
      <c r="U183" s="235">
        <f t="shared" si="20"/>
        <v>202.75</v>
      </c>
      <c r="V183" s="236">
        <f t="shared" si="18"/>
        <v>0.21771771771771772</v>
      </c>
    </row>
    <row r="184" spans="17:22" x14ac:dyDescent="0.2">
      <c r="Q184" s="233">
        <v>44000</v>
      </c>
      <c r="R184" s="234">
        <f>IF($Q184&lt;='Data Input 1'!$B$29,0,IF($Q184&lt;='Data Input 1'!$D$29,'Data Input 1'!$F$29,IF($Q184&lt;='Data Input 1'!$D$30,'Data Input 1'!$F$30,IF($Q184&lt;='Data Input 1'!$D$31,'Data Input 1'!$F$31,IF($Q184&lt;='Data Input 1'!$D$32,'Data Input 1'!$F$32,MAX('Data Input 1'!$F$29:$F$33))))))</f>
        <v>3.5</v>
      </c>
      <c r="S184" s="235">
        <f t="shared" si="19"/>
        <v>170</v>
      </c>
      <c r="T184" s="234">
        <f>IF($Q184&lt;='Data Input 1'!$B$29,0,IF($Q184&lt;='Data Input 1'!$D$29,'Data Input 1'!$G$29,IF($Q184&lt;='Data Input 1'!$D$30,'Data Input 1'!$G$30,IF($Q184&lt;='Data Input 1'!$D$31,'Data Input 1'!$G$31,IF($Q184&lt;='Data Input 1'!$D$32,'Data Input 1'!$G$32,MAX('Data Input 1'!$G$29:$G$33))))))</f>
        <v>4.25</v>
      </c>
      <c r="U184" s="235">
        <f t="shared" si="20"/>
        <v>207</v>
      </c>
      <c r="V184" s="236">
        <f t="shared" si="18"/>
        <v>0.21764705882352942</v>
      </c>
    </row>
    <row r="185" spans="17:22" x14ac:dyDescent="0.2">
      <c r="Q185" s="233">
        <v>45000</v>
      </c>
      <c r="R185" s="234">
        <f>IF($Q185&lt;='Data Input 1'!$B$29,0,IF($Q185&lt;='Data Input 1'!$D$29,'Data Input 1'!$F$29,IF($Q185&lt;='Data Input 1'!$D$30,'Data Input 1'!$F$30,IF($Q185&lt;='Data Input 1'!$D$31,'Data Input 1'!$F$31,IF($Q185&lt;='Data Input 1'!$D$32,'Data Input 1'!$F$32,MAX('Data Input 1'!$F$29:$F$33))))))</f>
        <v>3.5</v>
      </c>
      <c r="S185" s="235">
        <f t="shared" si="19"/>
        <v>173.5</v>
      </c>
      <c r="T185" s="234">
        <f>IF($Q185&lt;='Data Input 1'!$B$29,0,IF($Q185&lt;='Data Input 1'!$D$29,'Data Input 1'!$G$29,IF($Q185&lt;='Data Input 1'!$D$30,'Data Input 1'!$G$30,IF($Q185&lt;='Data Input 1'!$D$31,'Data Input 1'!$G$31,IF($Q185&lt;='Data Input 1'!$D$32,'Data Input 1'!$G$32,MAX('Data Input 1'!$G$29:$G$33))))))</f>
        <v>4.25</v>
      </c>
      <c r="U185" s="235">
        <f t="shared" si="20"/>
        <v>211.25</v>
      </c>
      <c r="V185" s="236">
        <f t="shared" si="18"/>
        <v>0.21757925072046108</v>
      </c>
    </row>
    <row r="186" spans="17:22" x14ac:dyDescent="0.2">
      <c r="Q186" s="233">
        <v>46000</v>
      </c>
      <c r="R186" s="234">
        <f>IF($Q186&lt;='Data Input 1'!$B$29,0,IF($Q186&lt;='Data Input 1'!$D$29,'Data Input 1'!$F$29,IF($Q186&lt;='Data Input 1'!$D$30,'Data Input 1'!$F$30,IF($Q186&lt;='Data Input 1'!$D$31,'Data Input 1'!$F$31,IF($Q186&lt;='Data Input 1'!$D$32,'Data Input 1'!$F$32,MAX('Data Input 1'!$F$29:$F$33))))))</f>
        <v>3.5</v>
      </c>
      <c r="S186" s="235">
        <f t="shared" si="19"/>
        <v>177</v>
      </c>
      <c r="T186" s="234">
        <f>IF($Q186&lt;='Data Input 1'!$B$29,0,IF($Q186&lt;='Data Input 1'!$D$29,'Data Input 1'!$G$29,IF($Q186&lt;='Data Input 1'!$D$30,'Data Input 1'!$G$30,IF($Q186&lt;='Data Input 1'!$D$31,'Data Input 1'!$G$31,IF($Q186&lt;='Data Input 1'!$D$32,'Data Input 1'!$G$32,MAX('Data Input 1'!$G$29:$G$33))))))</f>
        <v>4.25</v>
      </c>
      <c r="U186" s="235">
        <f t="shared" si="20"/>
        <v>215.5</v>
      </c>
      <c r="V186" s="236">
        <f t="shared" si="18"/>
        <v>0.2175141242937853</v>
      </c>
    </row>
    <row r="187" spans="17:22" x14ac:dyDescent="0.2">
      <c r="Q187" s="233">
        <v>47000</v>
      </c>
      <c r="R187" s="234">
        <f>IF($Q187&lt;='Data Input 1'!$B$29,0,IF($Q187&lt;='Data Input 1'!$D$29,'Data Input 1'!$F$29,IF($Q187&lt;='Data Input 1'!$D$30,'Data Input 1'!$F$30,IF($Q187&lt;='Data Input 1'!$D$31,'Data Input 1'!$F$31,IF($Q187&lt;='Data Input 1'!$D$32,'Data Input 1'!$F$32,MAX('Data Input 1'!$F$29:$F$33))))))</f>
        <v>3.5</v>
      </c>
      <c r="S187" s="235">
        <f t="shared" si="19"/>
        <v>180.5</v>
      </c>
      <c r="T187" s="234">
        <f>IF($Q187&lt;='Data Input 1'!$B$29,0,IF($Q187&lt;='Data Input 1'!$D$29,'Data Input 1'!$G$29,IF($Q187&lt;='Data Input 1'!$D$30,'Data Input 1'!$G$30,IF($Q187&lt;='Data Input 1'!$D$31,'Data Input 1'!$G$31,IF($Q187&lt;='Data Input 1'!$D$32,'Data Input 1'!$G$32,MAX('Data Input 1'!$G$29:$G$33))))))</f>
        <v>4.25</v>
      </c>
      <c r="U187" s="235">
        <f t="shared" si="20"/>
        <v>219.75</v>
      </c>
      <c r="V187" s="236">
        <f t="shared" si="18"/>
        <v>0.21745152354570638</v>
      </c>
    </row>
    <row r="188" spans="17:22" x14ac:dyDescent="0.2">
      <c r="Q188" s="233">
        <v>48000</v>
      </c>
      <c r="R188" s="234">
        <f>IF($Q188&lt;='Data Input 1'!$B$29,0,IF($Q188&lt;='Data Input 1'!$D$29,'Data Input 1'!$F$29,IF($Q188&lt;='Data Input 1'!$D$30,'Data Input 1'!$F$30,IF($Q188&lt;='Data Input 1'!$D$31,'Data Input 1'!$F$31,IF($Q188&lt;='Data Input 1'!$D$32,'Data Input 1'!$F$32,MAX('Data Input 1'!$F$29:$F$33))))))</f>
        <v>3.5</v>
      </c>
      <c r="S188" s="235">
        <f t="shared" si="19"/>
        <v>184</v>
      </c>
      <c r="T188" s="234">
        <f>IF($Q188&lt;='Data Input 1'!$B$29,0,IF($Q188&lt;='Data Input 1'!$D$29,'Data Input 1'!$G$29,IF($Q188&lt;='Data Input 1'!$D$30,'Data Input 1'!$G$30,IF($Q188&lt;='Data Input 1'!$D$31,'Data Input 1'!$G$31,IF($Q188&lt;='Data Input 1'!$D$32,'Data Input 1'!$G$32,MAX('Data Input 1'!$G$29:$G$33))))))</f>
        <v>4.25</v>
      </c>
      <c r="U188" s="235">
        <f t="shared" si="20"/>
        <v>224</v>
      </c>
      <c r="V188" s="236">
        <f t="shared" si="18"/>
        <v>0.21739130434782608</v>
      </c>
    </row>
    <row r="189" spans="17:22" x14ac:dyDescent="0.2">
      <c r="Q189" s="233">
        <v>49000</v>
      </c>
      <c r="R189" s="234">
        <f>IF($Q189&lt;='Data Input 1'!$B$29,0,IF($Q189&lt;='Data Input 1'!$D$29,'Data Input 1'!$F$29,IF($Q189&lt;='Data Input 1'!$D$30,'Data Input 1'!$F$30,IF($Q189&lt;='Data Input 1'!$D$31,'Data Input 1'!$F$31,IF($Q189&lt;='Data Input 1'!$D$32,'Data Input 1'!$F$32,MAX('Data Input 1'!$F$29:$F$33))))))</f>
        <v>3.5</v>
      </c>
      <c r="S189" s="235">
        <f t="shared" si="19"/>
        <v>187.5</v>
      </c>
      <c r="T189" s="234">
        <f>IF($Q189&lt;='Data Input 1'!$B$29,0,IF($Q189&lt;='Data Input 1'!$D$29,'Data Input 1'!$G$29,IF($Q189&lt;='Data Input 1'!$D$30,'Data Input 1'!$G$30,IF($Q189&lt;='Data Input 1'!$D$31,'Data Input 1'!$G$31,IF($Q189&lt;='Data Input 1'!$D$32,'Data Input 1'!$G$32,MAX('Data Input 1'!$G$29:$G$33))))))</f>
        <v>4.25</v>
      </c>
      <c r="U189" s="235">
        <f t="shared" si="20"/>
        <v>228.25</v>
      </c>
      <c r="V189" s="236">
        <f t="shared" si="18"/>
        <v>0.21733333333333332</v>
      </c>
    </row>
    <row r="190" spans="17:22" x14ac:dyDescent="0.2">
      <c r="Q190" s="233">
        <v>50000</v>
      </c>
      <c r="R190" s="234">
        <f>IF($Q190&lt;='Data Input 1'!$B$29,0,IF($Q190&lt;='Data Input 1'!$D$29,'Data Input 1'!$F$29,IF($Q190&lt;='Data Input 1'!$D$30,'Data Input 1'!$F$30,IF($Q190&lt;='Data Input 1'!$D$31,'Data Input 1'!$F$31,IF($Q190&lt;='Data Input 1'!$D$32,'Data Input 1'!$F$32,MAX('Data Input 1'!$F$29:$F$33))))))</f>
        <v>3.5</v>
      </c>
      <c r="S190" s="235">
        <f t="shared" si="19"/>
        <v>191</v>
      </c>
      <c r="T190" s="234">
        <f>IF($Q190&lt;='Data Input 1'!$B$29,0,IF($Q190&lt;='Data Input 1'!$D$29,'Data Input 1'!$G$29,IF($Q190&lt;='Data Input 1'!$D$30,'Data Input 1'!$G$30,IF($Q190&lt;='Data Input 1'!$D$31,'Data Input 1'!$G$31,IF($Q190&lt;='Data Input 1'!$D$32,'Data Input 1'!$G$32,MAX('Data Input 1'!$G$29:$G$33))))))</f>
        <v>4.25</v>
      </c>
      <c r="U190" s="235">
        <f t="shared" si="20"/>
        <v>232.5</v>
      </c>
      <c r="V190" s="236">
        <f t="shared" si="18"/>
        <v>0.21727748691099477</v>
      </c>
    </row>
    <row r="194" spans="1:21" x14ac:dyDescent="0.2">
      <c r="A194" s="343" t="s">
        <v>130</v>
      </c>
      <c r="B194" s="343"/>
      <c r="C194" s="343"/>
      <c r="D194" s="343"/>
      <c r="E194" s="343"/>
      <c r="F194" s="343"/>
      <c r="G194" s="343"/>
      <c r="H194" s="343"/>
      <c r="I194" s="343"/>
      <c r="J194" s="343"/>
      <c r="K194" s="343"/>
      <c r="L194" s="343"/>
      <c r="M194" s="343"/>
      <c r="N194" s="343"/>
      <c r="O194" s="343"/>
      <c r="P194" s="343"/>
      <c r="Q194" s="343"/>
      <c r="R194" s="343"/>
      <c r="S194" s="343"/>
      <c r="T194" s="343"/>
      <c r="U194" s="343"/>
    </row>
    <row r="195" spans="1:21" x14ac:dyDescent="0.2">
      <c r="A195" s="343" t="s">
        <v>97</v>
      </c>
      <c r="B195" s="343"/>
      <c r="C195" s="343"/>
      <c r="D195" s="343"/>
      <c r="E195" s="343"/>
      <c r="F195" s="343"/>
      <c r="G195" s="343"/>
      <c r="H195" s="343"/>
      <c r="I195" s="343"/>
      <c r="J195" s="343"/>
      <c r="K195" s="343"/>
      <c r="L195" s="343"/>
      <c r="M195" s="343"/>
      <c r="N195" s="343"/>
      <c r="O195" s="343"/>
      <c r="P195" s="343"/>
      <c r="Q195" s="343"/>
      <c r="R195" s="343"/>
      <c r="S195" s="343"/>
      <c r="T195" s="343"/>
      <c r="U195" s="343"/>
    </row>
    <row r="196" spans="1:21" x14ac:dyDescent="0.2">
      <c r="A196" s="345" t="s">
        <v>121</v>
      </c>
      <c r="B196" s="345"/>
      <c r="C196" s="345"/>
      <c r="D196" s="345"/>
      <c r="E196" s="345"/>
      <c r="F196" s="345"/>
      <c r="G196" s="345"/>
      <c r="H196" s="345"/>
      <c r="I196" s="345"/>
      <c r="J196" s="345"/>
      <c r="K196" s="345"/>
      <c r="L196" s="345"/>
      <c r="M196" s="345"/>
      <c r="N196" s="345"/>
      <c r="O196" s="345"/>
      <c r="P196" s="345"/>
      <c r="Q196" s="345"/>
      <c r="R196" s="345"/>
      <c r="S196" s="345"/>
      <c r="T196" s="345"/>
      <c r="U196" s="345"/>
    </row>
  </sheetData>
  <sheetProtection password="EB90" sheet="1" objects="1" scenarios="1"/>
  <mergeCells count="13">
    <mergeCell ref="A196:U196"/>
    <mergeCell ref="Y5:AB5"/>
    <mergeCell ref="R31:U31"/>
    <mergeCell ref="Y31:AB31"/>
    <mergeCell ref="R137:U137"/>
    <mergeCell ref="A5:O5"/>
    <mergeCell ref="A31:O31"/>
    <mergeCell ref="A137:O137"/>
    <mergeCell ref="A1:O1"/>
    <mergeCell ref="A2:O2"/>
    <mergeCell ref="A194:U194"/>
    <mergeCell ref="A195:U195"/>
    <mergeCell ref="R5:U5"/>
  </mergeCells>
  <dataValidations disablePrompts="1" count="1">
    <dataValidation type="whole" allowBlank="1" showErrorMessage="1" error="Please input a fiscal year between 1900 and 2100." sqref="S6:T6 S32:T32 Z32:AA32 Z6:AA6 S138:T138" xr:uid="{00000000-0002-0000-0400-000000000000}">
      <formula1>1900</formula1>
      <formula2>2100</formula2>
    </dataValidation>
  </dataValidations>
  <hyperlinks>
    <hyperlink ref="A194:U194" r:id="rId1" display="Copyright © 2014 Environmental Finance Center at the University of North Carolina, Chapel Hill. efc.sog.unc.edu" xr:uid="{00000000-0004-0000-0400-000000000000}"/>
    <hyperlink ref="A196:K196" r:id="rId2" display="Download an updated version of this tool at http://efc.sog.unc.edu. Find it in Resources / Tools." xr:uid="{00000000-0004-0000-0400-000001000000}"/>
    <hyperlink ref="A196:U196" r:id="rId3" display="Download an updated version of this tool at http://efc.sog.unc.edu. Find it in Resources / Tools." xr:uid="{00000000-0004-0000-0400-000002000000}"/>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99"/>
  <sheetViews>
    <sheetView zoomScale="90" zoomScaleNormal="90" zoomScalePageLayoutView="80" workbookViewId="0">
      <selection activeCell="A3" sqref="A3"/>
    </sheetView>
  </sheetViews>
  <sheetFormatPr defaultColWidth="8.85546875" defaultRowHeight="12.75" outlineLevelRow="1" x14ac:dyDescent="0.2"/>
  <cols>
    <col min="1" max="1" width="51.28515625" style="139" bestFit="1" customWidth="1"/>
    <col min="2" max="2" width="18.140625" style="139" customWidth="1"/>
    <col min="3" max="3" width="31" style="140" customWidth="1"/>
    <col min="4" max="4" width="15.7109375" style="140" customWidth="1"/>
    <col min="5" max="27" width="15.7109375" style="139" customWidth="1"/>
    <col min="28" max="16384" width="8.85546875" style="139"/>
  </cols>
  <sheetData>
    <row r="1" spans="1:24" ht="18" x14ac:dyDescent="0.2">
      <c r="A1" s="348" t="s">
        <v>119</v>
      </c>
      <c r="B1" s="348"/>
      <c r="C1" s="348"/>
      <c r="D1" s="348"/>
      <c r="E1" s="348"/>
      <c r="F1" s="348"/>
      <c r="G1" s="348"/>
      <c r="H1" s="348"/>
      <c r="I1" s="348"/>
    </row>
    <row r="2" spans="1:24" ht="18" x14ac:dyDescent="0.2">
      <c r="A2" s="348" t="s">
        <v>82</v>
      </c>
      <c r="B2" s="348"/>
      <c r="C2" s="348"/>
      <c r="D2" s="348"/>
      <c r="E2" s="348"/>
      <c r="F2" s="348"/>
      <c r="G2" s="348"/>
      <c r="H2" s="348"/>
      <c r="I2" s="348"/>
    </row>
    <row r="4" spans="1:24" x14ac:dyDescent="0.2">
      <c r="C4" s="217" t="s">
        <v>105</v>
      </c>
      <c r="D4" s="141" t="s">
        <v>106</v>
      </c>
    </row>
    <row r="5" spans="1:24" s="145" customFormat="1" x14ac:dyDescent="0.2">
      <c r="A5" s="142"/>
      <c r="B5" s="143" t="s">
        <v>96</v>
      </c>
      <c r="C5" s="144">
        <f>'Data Input 1'!F6</f>
        <v>2014</v>
      </c>
      <c r="D5" s="144">
        <f>C5+1</f>
        <v>2015</v>
      </c>
      <c r="E5" s="144">
        <f t="shared" ref="E5:X5" si="0">D5+1</f>
        <v>2016</v>
      </c>
      <c r="F5" s="144">
        <f t="shared" si="0"/>
        <v>2017</v>
      </c>
      <c r="G5" s="144">
        <f t="shared" si="0"/>
        <v>2018</v>
      </c>
      <c r="H5" s="144">
        <f t="shared" si="0"/>
        <v>2019</v>
      </c>
      <c r="I5" s="144">
        <f t="shared" si="0"/>
        <v>2020</v>
      </c>
      <c r="J5" s="144">
        <f t="shared" si="0"/>
        <v>2021</v>
      </c>
      <c r="K5" s="144">
        <f t="shared" si="0"/>
        <v>2022</v>
      </c>
      <c r="L5" s="144">
        <f t="shared" si="0"/>
        <v>2023</v>
      </c>
      <c r="M5" s="144">
        <f t="shared" si="0"/>
        <v>2024</v>
      </c>
      <c r="N5" s="144">
        <f t="shared" si="0"/>
        <v>2025</v>
      </c>
      <c r="O5" s="144">
        <f t="shared" si="0"/>
        <v>2026</v>
      </c>
      <c r="P5" s="144">
        <f t="shared" si="0"/>
        <v>2027</v>
      </c>
      <c r="Q5" s="144">
        <f t="shared" si="0"/>
        <v>2028</v>
      </c>
      <c r="R5" s="144">
        <f t="shared" si="0"/>
        <v>2029</v>
      </c>
      <c r="S5" s="144">
        <f t="shared" si="0"/>
        <v>2030</v>
      </c>
      <c r="T5" s="144">
        <f t="shared" si="0"/>
        <v>2031</v>
      </c>
      <c r="U5" s="144">
        <f t="shared" si="0"/>
        <v>2032</v>
      </c>
      <c r="V5" s="144">
        <f t="shared" si="0"/>
        <v>2033</v>
      </c>
      <c r="W5" s="144">
        <f t="shared" si="0"/>
        <v>2034</v>
      </c>
      <c r="X5" s="144">
        <f t="shared" si="0"/>
        <v>2035</v>
      </c>
    </row>
    <row r="6" spans="1:24" s="145" customFormat="1" x14ac:dyDescent="0.2">
      <c r="A6" s="146"/>
      <c r="B6" s="146"/>
      <c r="C6" s="146"/>
      <c r="D6" s="146"/>
      <c r="E6" s="146"/>
      <c r="F6" s="146"/>
      <c r="G6" s="146"/>
      <c r="H6" s="146"/>
      <c r="I6" s="146"/>
      <c r="J6" s="146"/>
      <c r="K6" s="146"/>
      <c r="L6" s="146"/>
      <c r="M6" s="146"/>
      <c r="N6" s="146"/>
      <c r="O6" s="146"/>
      <c r="P6" s="146"/>
      <c r="Q6" s="146"/>
      <c r="R6" s="146"/>
      <c r="S6" s="146"/>
      <c r="T6" s="146"/>
      <c r="U6" s="146"/>
      <c r="V6" s="146"/>
      <c r="W6" s="146"/>
      <c r="X6" s="146"/>
    </row>
    <row r="7" spans="1:24" s="149" customFormat="1" x14ac:dyDescent="0.2">
      <c r="A7" s="147" t="s">
        <v>6</v>
      </c>
      <c r="B7" s="147"/>
      <c r="C7" s="148"/>
      <c r="D7" s="144"/>
      <c r="E7" s="144"/>
    </row>
    <row r="8" spans="1:24" x14ac:dyDescent="0.2">
      <c r="A8" s="150" t="s">
        <v>7</v>
      </c>
      <c r="B8" s="150"/>
      <c r="C8" s="151">
        <f>'Data Input 1'!N27</f>
        <v>1000</v>
      </c>
      <c r="D8" s="152">
        <f>ROUND(C8*(1+'Data Input 1'!$O$27),0)</f>
        <v>1010</v>
      </c>
      <c r="E8" s="152">
        <f>ROUND(D8*(1+'Data Input 1'!$O$27),0)</f>
        <v>1020</v>
      </c>
      <c r="F8" s="152">
        <f>ROUND(E8*(1+'Data Input 1'!$O$27),0)</f>
        <v>1030</v>
      </c>
      <c r="G8" s="152">
        <f>ROUND(F8*(1+'Data Input 1'!$O$27),0)</f>
        <v>1040</v>
      </c>
      <c r="H8" s="152">
        <f>ROUND(G8*(1+'Data Input 1'!$O$27),0)</f>
        <v>1050</v>
      </c>
      <c r="I8" s="152">
        <f>ROUND(H8*(1+'Data Input 1'!$O$27),0)</f>
        <v>1061</v>
      </c>
      <c r="J8" s="152">
        <f>ROUND(I8*(1+'Data Input 1'!$O$27),0)</f>
        <v>1072</v>
      </c>
      <c r="K8" s="152">
        <f>ROUND(J8*(1+'Data Input 1'!$O$27),0)</f>
        <v>1083</v>
      </c>
      <c r="L8" s="152">
        <f>ROUND(K8*(1+'Data Input 1'!$O$27),0)</f>
        <v>1094</v>
      </c>
      <c r="M8" s="152">
        <f>ROUND(L8*(1+'Data Input 1'!$O$27),0)</f>
        <v>1105</v>
      </c>
      <c r="N8" s="152">
        <f>ROUND(M8*(1+'Data Input 1'!$O$27),0)</f>
        <v>1116</v>
      </c>
      <c r="O8" s="152">
        <f>ROUND(N8*(1+'Data Input 1'!$O$27),0)</f>
        <v>1127</v>
      </c>
      <c r="P8" s="152">
        <f>ROUND(O8*(1+'Data Input 1'!$O$27),0)</f>
        <v>1138</v>
      </c>
      <c r="Q8" s="152">
        <f>ROUND(P8*(1+'Data Input 1'!$O$27),0)</f>
        <v>1149</v>
      </c>
      <c r="R8" s="152">
        <f>ROUND(Q8*(1+'Data Input 1'!$O$27),0)</f>
        <v>1160</v>
      </c>
      <c r="S8" s="152">
        <f>ROUND(R8*(1+'Data Input 1'!$O$27),0)</f>
        <v>1172</v>
      </c>
      <c r="T8" s="152">
        <f>ROUND(S8*(1+'Data Input 1'!$O$27),0)</f>
        <v>1184</v>
      </c>
      <c r="U8" s="152">
        <f>ROUND(T8*(1+'Data Input 1'!$O$27),0)</f>
        <v>1196</v>
      </c>
      <c r="V8" s="152">
        <f>ROUND(U8*(1+'Data Input 1'!$O$27),0)</f>
        <v>1208</v>
      </c>
      <c r="W8" s="152">
        <f>ROUND(V8*(1+'Data Input 1'!$O$27),0)</f>
        <v>1220</v>
      </c>
      <c r="X8" s="152">
        <f>ROUND(W8*(1+'Data Input 1'!$O$27),0)</f>
        <v>1232</v>
      </c>
    </row>
    <row r="9" spans="1:24" x14ac:dyDescent="0.2">
      <c r="A9" s="150" t="s">
        <v>8</v>
      </c>
      <c r="B9" s="150"/>
      <c r="C9" s="151">
        <f>'Data Input 1'!N28</f>
        <v>800</v>
      </c>
      <c r="D9" s="152">
        <f>ROUND(C9*(1+'Data Input 1'!$O$28),0)</f>
        <v>808</v>
      </c>
      <c r="E9" s="152">
        <f>ROUND(D9*(1+'Data Input 1'!$O$28),0)</f>
        <v>816</v>
      </c>
      <c r="F9" s="152">
        <f>ROUND(E9*(1+'Data Input 1'!$O$28),0)</f>
        <v>824</v>
      </c>
      <c r="G9" s="152">
        <f>ROUND(F9*(1+'Data Input 1'!$O$28),0)</f>
        <v>832</v>
      </c>
      <c r="H9" s="152">
        <f>ROUND(G9*(1+'Data Input 1'!$O$28),0)</f>
        <v>840</v>
      </c>
      <c r="I9" s="152">
        <f>ROUND(H9*(1+'Data Input 1'!$O$28),0)</f>
        <v>848</v>
      </c>
      <c r="J9" s="152">
        <f>ROUND(I9*(1+'Data Input 1'!$O$28),0)</f>
        <v>856</v>
      </c>
      <c r="K9" s="152">
        <f>ROUND(J9*(1+'Data Input 1'!$O$28),0)</f>
        <v>865</v>
      </c>
      <c r="L9" s="152">
        <f>ROUND(K9*(1+'Data Input 1'!$O$28),0)</f>
        <v>874</v>
      </c>
      <c r="M9" s="152">
        <f>ROUND(L9*(1+'Data Input 1'!$O$28),0)</f>
        <v>883</v>
      </c>
      <c r="N9" s="152">
        <f>ROUND(M9*(1+'Data Input 1'!$O$28),0)</f>
        <v>892</v>
      </c>
      <c r="O9" s="152">
        <f>ROUND(N9*(1+'Data Input 1'!$O$28),0)</f>
        <v>901</v>
      </c>
      <c r="P9" s="152">
        <f>ROUND(O9*(1+'Data Input 1'!$O$28),0)</f>
        <v>910</v>
      </c>
      <c r="Q9" s="152">
        <f>ROUND(P9*(1+'Data Input 1'!$O$28),0)</f>
        <v>919</v>
      </c>
      <c r="R9" s="152">
        <f>ROUND(Q9*(1+'Data Input 1'!$O$28),0)</f>
        <v>928</v>
      </c>
      <c r="S9" s="152">
        <f>ROUND(R9*(1+'Data Input 1'!$O$28),0)</f>
        <v>937</v>
      </c>
      <c r="T9" s="152">
        <f>ROUND(S9*(1+'Data Input 1'!$O$28),0)</f>
        <v>946</v>
      </c>
      <c r="U9" s="152">
        <f>ROUND(T9*(1+'Data Input 1'!$O$28),0)</f>
        <v>955</v>
      </c>
      <c r="V9" s="152">
        <f>ROUND(U9*(1+'Data Input 1'!$O$28),0)</f>
        <v>965</v>
      </c>
      <c r="W9" s="152">
        <f>ROUND(V9*(1+'Data Input 1'!$O$28),0)</f>
        <v>975</v>
      </c>
      <c r="X9" s="152">
        <f>ROUND(W9*(1+'Data Input 1'!$O$28),0)</f>
        <v>985</v>
      </c>
    </row>
    <row r="10" spans="1:24" x14ac:dyDescent="0.2">
      <c r="A10" s="147" t="s">
        <v>0</v>
      </c>
      <c r="B10" s="153"/>
      <c r="C10" s="144"/>
      <c r="D10" s="151"/>
      <c r="E10" s="156"/>
      <c r="F10" s="156"/>
      <c r="G10" s="156"/>
      <c r="H10" s="156"/>
      <c r="I10" s="156"/>
      <c r="J10" s="156"/>
      <c r="K10" s="156"/>
      <c r="L10" s="156"/>
      <c r="M10" s="156"/>
      <c r="N10" s="156"/>
    </row>
    <row r="11" spans="1:24" x14ac:dyDescent="0.2">
      <c r="A11" s="150" t="s">
        <v>7</v>
      </c>
      <c r="B11" s="150"/>
      <c r="C11" s="152">
        <f>'Data Input 1'!N30</f>
        <v>200</v>
      </c>
      <c r="D11" s="152">
        <f>ROUND(C11*(1+'Data Input 1'!$O$30),0)</f>
        <v>200</v>
      </c>
      <c r="E11" s="152">
        <f>ROUND(D11*(1+'Data Input 1'!$O$30),0)</f>
        <v>200</v>
      </c>
      <c r="F11" s="152">
        <f>ROUND(E11*(1+'Data Input 1'!$O$30),0)</f>
        <v>200</v>
      </c>
      <c r="G11" s="152">
        <f>ROUND(F11*(1+'Data Input 1'!$O$30),0)</f>
        <v>200</v>
      </c>
      <c r="H11" s="152">
        <f>ROUND(G11*(1+'Data Input 1'!$O$30),0)</f>
        <v>200</v>
      </c>
      <c r="I11" s="152">
        <f>ROUND(H11*(1+'Data Input 1'!$O$30),0)</f>
        <v>200</v>
      </c>
      <c r="J11" s="152">
        <f>ROUND(I11*(1+'Data Input 1'!$O$30),0)</f>
        <v>200</v>
      </c>
      <c r="K11" s="152">
        <f>ROUND(J11*(1+'Data Input 1'!$O$30),0)</f>
        <v>200</v>
      </c>
      <c r="L11" s="152">
        <f>ROUND(K11*(1+'Data Input 1'!$O$30),0)</f>
        <v>200</v>
      </c>
      <c r="M11" s="152">
        <f>ROUND(L11*(1+'Data Input 1'!$O$30),0)</f>
        <v>200</v>
      </c>
      <c r="N11" s="152">
        <f>ROUND(M11*(1+'Data Input 1'!$O$30),0)</f>
        <v>200</v>
      </c>
      <c r="O11" s="152">
        <f>ROUND(N11*(1+'Data Input 1'!$O$30),0)</f>
        <v>200</v>
      </c>
      <c r="P11" s="152">
        <f>ROUND(O11*(1+'Data Input 1'!$O$30),0)</f>
        <v>200</v>
      </c>
      <c r="Q11" s="152">
        <f>ROUND(P11*(1+'Data Input 1'!$O$30),0)</f>
        <v>200</v>
      </c>
      <c r="R11" s="152">
        <f>ROUND(Q11*(1+'Data Input 1'!$O$30),0)</f>
        <v>200</v>
      </c>
      <c r="S11" s="152">
        <f>ROUND(R11*(1+'Data Input 1'!$O$30),0)</f>
        <v>200</v>
      </c>
      <c r="T11" s="152">
        <f>ROUND(S11*(1+'Data Input 1'!$O$30),0)</f>
        <v>200</v>
      </c>
      <c r="U11" s="152">
        <f>ROUND(T11*(1+'Data Input 1'!$O$30),0)</f>
        <v>200</v>
      </c>
      <c r="V11" s="152">
        <f>ROUND(U11*(1+'Data Input 1'!$O$30),0)</f>
        <v>200</v>
      </c>
      <c r="W11" s="152">
        <f>ROUND(V11*(1+'Data Input 1'!$O$30),0)</f>
        <v>200</v>
      </c>
      <c r="X11" s="152">
        <f>ROUND(W11*(1+'Data Input 1'!$O$30),0)</f>
        <v>200</v>
      </c>
    </row>
    <row r="12" spans="1:24" x14ac:dyDescent="0.2">
      <c r="A12" s="150" t="s">
        <v>8</v>
      </c>
      <c r="B12" s="150"/>
      <c r="C12" s="152">
        <f>'Data Input 1'!N31</f>
        <v>80</v>
      </c>
      <c r="D12" s="152">
        <f>ROUND(C12*(1+'Data Input 1'!$O$31),0)</f>
        <v>80</v>
      </c>
      <c r="E12" s="152">
        <f>ROUND(D12*(1+'Data Input 1'!$O$31),0)</f>
        <v>80</v>
      </c>
      <c r="F12" s="152">
        <f>ROUND(E12*(1+'Data Input 1'!$O$31),0)</f>
        <v>80</v>
      </c>
      <c r="G12" s="152">
        <f>ROUND(F12*(1+'Data Input 1'!$O$31),0)</f>
        <v>80</v>
      </c>
      <c r="H12" s="152">
        <f>ROUND(G12*(1+'Data Input 1'!$O$31),0)</f>
        <v>80</v>
      </c>
      <c r="I12" s="152">
        <f>ROUND(H12*(1+'Data Input 1'!$O$31),0)</f>
        <v>80</v>
      </c>
      <c r="J12" s="152">
        <f>ROUND(I12*(1+'Data Input 1'!$O$31),0)</f>
        <v>80</v>
      </c>
      <c r="K12" s="152">
        <f>ROUND(J12*(1+'Data Input 1'!$O$31),0)</f>
        <v>80</v>
      </c>
      <c r="L12" s="152">
        <f>ROUND(K12*(1+'Data Input 1'!$O$31),0)</f>
        <v>80</v>
      </c>
      <c r="M12" s="152">
        <f>ROUND(L12*(1+'Data Input 1'!$O$31),0)</f>
        <v>80</v>
      </c>
      <c r="N12" s="152">
        <f>ROUND(M12*(1+'Data Input 1'!$O$31),0)</f>
        <v>80</v>
      </c>
      <c r="O12" s="152">
        <f>ROUND(N12*(1+'Data Input 1'!$O$31),0)</f>
        <v>80</v>
      </c>
      <c r="P12" s="152">
        <f>ROUND(O12*(1+'Data Input 1'!$O$31),0)</f>
        <v>80</v>
      </c>
      <c r="Q12" s="152">
        <f>ROUND(P12*(1+'Data Input 1'!$O$31),0)</f>
        <v>80</v>
      </c>
      <c r="R12" s="152">
        <f>ROUND(Q12*(1+'Data Input 1'!$O$31),0)</f>
        <v>80</v>
      </c>
      <c r="S12" s="152">
        <f>ROUND(R12*(1+'Data Input 1'!$O$31),0)</f>
        <v>80</v>
      </c>
      <c r="T12" s="152">
        <f>ROUND(S12*(1+'Data Input 1'!$O$31),0)</f>
        <v>80</v>
      </c>
      <c r="U12" s="152">
        <f>ROUND(T12*(1+'Data Input 1'!$O$31),0)</f>
        <v>80</v>
      </c>
      <c r="V12" s="152">
        <f>ROUND(U12*(1+'Data Input 1'!$O$31),0)</f>
        <v>80</v>
      </c>
      <c r="W12" s="152">
        <f>ROUND(V12*(1+'Data Input 1'!$O$31),0)</f>
        <v>80</v>
      </c>
      <c r="X12" s="152">
        <f>ROUND(W12*(1+'Data Input 1'!$O$31),0)</f>
        <v>80</v>
      </c>
    </row>
    <row r="13" spans="1:24" x14ac:dyDescent="0.2">
      <c r="A13" s="147" t="s">
        <v>27</v>
      </c>
      <c r="B13" s="154"/>
      <c r="C13" s="144"/>
      <c r="D13" s="151"/>
      <c r="E13" s="156"/>
      <c r="F13" s="156"/>
      <c r="G13" s="156"/>
      <c r="H13" s="156"/>
      <c r="I13" s="156"/>
      <c r="J13" s="156"/>
      <c r="K13" s="156"/>
      <c r="L13" s="156"/>
      <c r="M13" s="156"/>
      <c r="N13" s="156"/>
    </row>
    <row r="14" spans="1:24" x14ac:dyDescent="0.2">
      <c r="A14" s="150" t="s">
        <v>45</v>
      </c>
      <c r="B14" s="154"/>
      <c r="C14" s="152">
        <f>'Data Input 1'!N33</f>
        <v>50</v>
      </c>
      <c r="D14" s="152">
        <f>ROUND(C14*(1+'Data Input 1'!$O$33),0)</f>
        <v>51</v>
      </c>
      <c r="E14" s="152">
        <f>ROUND(D14*(1+'Data Input 1'!$O$33),0)</f>
        <v>52</v>
      </c>
      <c r="F14" s="152">
        <f>ROUND(E14*(1+'Data Input 1'!$O$33),0)</f>
        <v>53</v>
      </c>
      <c r="G14" s="152">
        <f>ROUND(F14*(1+'Data Input 1'!$O$33),0)</f>
        <v>54</v>
      </c>
      <c r="H14" s="152">
        <f>ROUND(G14*(1+'Data Input 1'!$O$33),0)</f>
        <v>55</v>
      </c>
      <c r="I14" s="152">
        <f>ROUND(H14*(1+'Data Input 1'!$O$33),0)</f>
        <v>56</v>
      </c>
      <c r="J14" s="152">
        <f>ROUND(I14*(1+'Data Input 1'!$O$33),0)</f>
        <v>57</v>
      </c>
      <c r="K14" s="152">
        <f>ROUND(J14*(1+'Data Input 1'!$O$33),0)</f>
        <v>58</v>
      </c>
      <c r="L14" s="152">
        <f>ROUND(K14*(1+'Data Input 1'!$O$33),0)</f>
        <v>59</v>
      </c>
      <c r="M14" s="152">
        <f>ROUND(L14*(1+'Data Input 1'!$O$33),0)</f>
        <v>60</v>
      </c>
      <c r="N14" s="152">
        <f>ROUND(M14*(1+'Data Input 1'!$O$33),0)</f>
        <v>61</v>
      </c>
      <c r="O14" s="152">
        <f>ROUND(N14*(1+'Data Input 1'!$O$33),0)</f>
        <v>62</v>
      </c>
      <c r="P14" s="152">
        <f>ROUND(O14*(1+'Data Input 1'!$O$33),0)</f>
        <v>63</v>
      </c>
      <c r="Q14" s="152">
        <f>ROUND(P14*(1+'Data Input 1'!$O$33),0)</f>
        <v>64</v>
      </c>
      <c r="R14" s="152">
        <f>ROUND(Q14*(1+'Data Input 1'!$O$33),0)</f>
        <v>65</v>
      </c>
      <c r="S14" s="152">
        <f>ROUND(R14*(1+'Data Input 1'!$O$33),0)</f>
        <v>66</v>
      </c>
      <c r="T14" s="152">
        <f>ROUND(S14*(1+'Data Input 1'!$O$33),0)</f>
        <v>67</v>
      </c>
      <c r="U14" s="152">
        <f>ROUND(T14*(1+'Data Input 1'!$O$33),0)</f>
        <v>68</v>
      </c>
      <c r="V14" s="152">
        <f>ROUND(U14*(1+'Data Input 1'!$O$33),0)</f>
        <v>69</v>
      </c>
      <c r="W14" s="152">
        <f>ROUND(V14*(1+'Data Input 1'!$O$33),0)</f>
        <v>70</v>
      </c>
      <c r="X14" s="152">
        <f>ROUND(W14*(1+'Data Input 1'!$O$33),0)</f>
        <v>71</v>
      </c>
    </row>
    <row r="15" spans="1:24" x14ac:dyDescent="0.2">
      <c r="A15" s="155"/>
      <c r="B15" s="154"/>
      <c r="D15" s="151"/>
      <c r="E15" s="156"/>
      <c r="F15" s="156"/>
      <c r="G15" s="156"/>
      <c r="H15" s="156"/>
      <c r="I15" s="156"/>
      <c r="J15" s="156"/>
      <c r="K15" s="156"/>
      <c r="L15" s="156"/>
      <c r="M15" s="156"/>
      <c r="N15" s="156"/>
    </row>
    <row r="16" spans="1:24" x14ac:dyDescent="0.2">
      <c r="A16" s="145" t="s">
        <v>46</v>
      </c>
      <c r="B16" s="154"/>
      <c r="D16" s="151"/>
      <c r="E16" s="156"/>
      <c r="F16" s="156"/>
      <c r="G16" s="156"/>
      <c r="H16" s="156"/>
      <c r="I16" s="156"/>
      <c r="J16" s="156"/>
      <c r="K16" s="156"/>
      <c r="L16" s="156"/>
      <c r="M16" s="156"/>
      <c r="N16" s="156"/>
    </row>
    <row r="17" spans="1:24" outlineLevel="1" x14ac:dyDescent="0.2">
      <c r="A17" s="150" t="str">
        <f>"Residential Water Block 1 (" &amp;'Data Input 1'!B10 &amp;" to " &amp;'Data Input 1'!D10 &amp;" gal/month):"</f>
        <v>Residential Water Block 1 (0 to 3000 gal/month):</v>
      </c>
      <c r="B17" s="157">
        <f>'Data Input 2'!D11</f>
        <v>1500000</v>
      </c>
      <c r="C17" s="158">
        <f>B17*12</f>
        <v>18000000</v>
      </c>
      <c r="D17" s="151">
        <f>IF(C$8=0,0,MAX((C17*(1+'Data Input 2'!$K$34)*D$8/C$8),0))</f>
        <v>17998200</v>
      </c>
      <c r="E17" s="151">
        <f>IF(D$8=0,0,MAX((D17*(1+'Data Input 2'!$K$34)*E$8/D$8),0))</f>
        <v>17994636</v>
      </c>
      <c r="F17" s="151">
        <f>IF(E$8=0,0,MAX((E17*(1+'Data Input 2'!$K$34)*F$8/E$8),0))</f>
        <v>17989343.460000001</v>
      </c>
      <c r="G17" s="151">
        <f>IF(F$8=0,0,MAX((F17*(1+'Data Input 2'!$K$34)*G$8/F$8),0))</f>
        <v>17982357.3072</v>
      </c>
      <c r="H17" s="151">
        <f>IF(G$8=0,0,MAX((G17*(1+'Data Input 2'!$K$34)*H$8/G$8),0))</f>
        <v>17973711.943109997</v>
      </c>
      <c r="I17" s="151">
        <f>IF(H$8=0,0,MAX((H17*(1+'Data Input 2'!$K$34)*I$8/H$8),0))</f>
        <v>17980387.893260296</v>
      </c>
      <c r="J17" s="151">
        <f>IF(I$8=0,0,MAX((I17*(1+'Data Input 2'!$K$34)*J$8/I$8),0))</f>
        <v>17985132.953213278</v>
      </c>
      <c r="K17" s="151">
        <f>IF(J$8=0,0,MAX((J17*(1+'Data Input 2'!$K$34)*K$8/J$8),0))</f>
        <v>17987985.073177874</v>
      </c>
      <c r="L17" s="151">
        <f>IF(K$8=0,0,MAX((K17*(1+'Data Input 2'!$K$34)*L$8/K$8),0))</f>
        <v>17988981.637447856</v>
      </c>
      <c r="M17" s="151">
        <f>IF(L$8=0,0,MAX((L17*(1+'Data Input 2'!$K$34)*M$8/L$8),0))</f>
        <v>17988159.471925121</v>
      </c>
      <c r="N17" s="151">
        <f>IF(M$8=0,0,MAX((M17*(1+'Data Input 2'!$K$34)*N$8/M$8),0))</f>
        <v>17985554.8515491</v>
      </c>
      <c r="O17" s="151">
        <f>IF(N$8=0,0,MAX((N17*(1+'Data Input 2'!$K$34)*O$8/N$8),0))</f>
        <v>17981203.507633403</v>
      </c>
      <c r="P17" s="151">
        <f>IF(O$8=0,0,MAX((O17*(1+'Data Input 2'!$K$34)*P$8/O$8),0))</f>
        <v>17975140.635110863</v>
      </c>
      <c r="Q17" s="151">
        <f>IF(P$8=0,0,MAX((P17*(1+'Data Input 2'!$K$34)*Q$8/P$8),0))</f>
        <v>17967400.899688013</v>
      </c>
      <c r="R17" s="151">
        <f>IF(Q$8=0,0,MAX((Q17*(1+'Data Input 2'!$K$34)*R$8/Q$8),0))</f>
        <v>17958018.444910109</v>
      </c>
      <c r="S17" s="151">
        <f>IF(R$8=0,0,MAX((R17*(1+'Data Input 2'!$K$34)*S$8/R$8),0))</f>
        <v>17962353.1390175</v>
      </c>
      <c r="T17" s="151">
        <f>IF(S$8=0,0,MAX((S17*(1+'Data Input 2'!$K$34)*T$8/S$8),0))</f>
        <v>17964805.337398253</v>
      </c>
      <c r="U17" s="151">
        <f>IF(T$8=0,0,MAX((T17*(1+'Data Input 2'!$K$34)*U$8/T$8),0))</f>
        <v>17965412.256497491</v>
      </c>
      <c r="V17" s="151">
        <f>IF(U$8=0,0,MAX((U17*(1+'Data Input 2'!$K$34)*V$8/U$8),0))</f>
        <v>17964210.556681</v>
      </c>
      <c r="W17" s="151">
        <f>IF(V$8=0,0,MAX((V17*(1+'Data Input 2'!$K$34)*W$8/V$8),0))</f>
        <v>17961236.349635191</v>
      </c>
      <c r="X17" s="151">
        <f>IF(W$8=0,0,MAX((W17*(1+'Data Input 2'!$K$34)*X$8/W$8),0))</f>
        <v>17956525.20567463</v>
      </c>
    </row>
    <row r="18" spans="1:24" outlineLevel="1" x14ac:dyDescent="0.2">
      <c r="A18" s="150" t="str">
        <f>"Residential Water Block 2 (" &amp;'Data Input 1'!B11 &amp;" to " &amp;'Data Input 1'!D11 &amp;" gal/month):"</f>
        <v>Residential Water Block 2 (3001 to 8000 gal/month):</v>
      </c>
      <c r="B18" s="157">
        <f>'Data Input 2'!D12</f>
        <v>3000000</v>
      </c>
      <c r="C18" s="158">
        <f>B18*12</f>
        <v>36000000</v>
      </c>
      <c r="D18" s="151">
        <f>IF(C$8=0,0,MAX((C18*(1+'Data Input 2'!$K$34)*D$8/C$8),0))</f>
        <v>35996400</v>
      </c>
      <c r="E18" s="151">
        <f>IF(D$8=0,0,MAX((D18*(1+'Data Input 2'!$K$34)*E$8/D$8),0))</f>
        <v>35989272</v>
      </c>
      <c r="F18" s="151">
        <f>IF(E$8=0,0,MAX((E18*(1+'Data Input 2'!$K$34)*F$8/E$8),0))</f>
        <v>35978686.920000002</v>
      </c>
      <c r="G18" s="151">
        <f>IF(F$8=0,0,MAX((F18*(1+'Data Input 2'!$K$34)*G$8/F$8),0))</f>
        <v>35964714.614399999</v>
      </c>
      <c r="H18" s="151">
        <f>IF(G$8=0,0,MAX((G18*(1+'Data Input 2'!$K$34)*H$8/G$8),0))</f>
        <v>35947423.886219993</v>
      </c>
      <c r="I18" s="151">
        <f>IF(H$8=0,0,MAX((H18*(1+'Data Input 2'!$K$34)*I$8/H$8),0))</f>
        <v>35960775.786520593</v>
      </c>
      <c r="J18" s="151">
        <f>IF(I$8=0,0,MAX((I18*(1+'Data Input 2'!$K$34)*J$8/I$8),0))</f>
        <v>35970265.906426556</v>
      </c>
      <c r="K18" s="151">
        <f>IF(J$8=0,0,MAX((J18*(1+'Data Input 2'!$K$34)*K$8/J$8),0))</f>
        <v>35975970.146355748</v>
      </c>
      <c r="L18" s="151">
        <f>IF(K$8=0,0,MAX((K18*(1+'Data Input 2'!$K$34)*L$8/K$8),0))</f>
        <v>35977963.274895713</v>
      </c>
      <c r="M18" s="151">
        <f>IF(L$8=0,0,MAX((L18*(1+'Data Input 2'!$K$34)*M$8/L$8),0))</f>
        <v>35976318.943850242</v>
      </c>
      <c r="N18" s="151">
        <f>IF(M$8=0,0,MAX((M18*(1+'Data Input 2'!$K$34)*N$8/M$8),0))</f>
        <v>35971109.7030982</v>
      </c>
      <c r="O18" s="151">
        <f>IF(N$8=0,0,MAX((N18*(1+'Data Input 2'!$K$34)*O$8/N$8),0))</f>
        <v>35962407.015266806</v>
      </c>
      <c r="P18" s="151">
        <f>IF(O$8=0,0,MAX((O18*(1+'Data Input 2'!$K$34)*P$8/O$8),0))</f>
        <v>35950281.270221725</v>
      </c>
      <c r="Q18" s="151">
        <f>IF(P$8=0,0,MAX((P18*(1+'Data Input 2'!$K$34)*Q$8/P$8),0))</f>
        <v>35934801.799376026</v>
      </c>
      <c r="R18" s="151">
        <f>IF(Q$8=0,0,MAX((Q18*(1+'Data Input 2'!$K$34)*R$8/Q$8),0))</f>
        <v>35916036.889820218</v>
      </c>
      <c r="S18" s="151">
        <f>IF(R$8=0,0,MAX((R18*(1+'Data Input 2'!$K$34)*S$8/R$8),0))</f>
        <v>35924706.278035</v>
      </c>
      <c r="T18" s="151">
        <f>IF(S$8=0,0,MAX((S18*(1+'Data Input 2'!$K$34)*T$8/S$8),0))</f>
        <v>35929610.674796507</v>
      </c>
      <c r="U18" s="151">
        <f>IF(T$8=0,0,MAX((T18*(1+'Data Input 2'!$K$34)*U$8/T$8),0))</f>
        <v>35930824.512994982</v>
      </c>
      <c r="V18" s="151">
        <f>IF(U$8=0,0,MAX((U18*(1+'Data Input 2'!$K$34)*V$8/U$8),0))</f>
        <v>35928421.113361999</v>
      </c>
      <c r="W18" s="151">
        <f>IF(V$8=0,0,MAX((V18*(1+'Data Input 2'!$K$34)*W$8/V$8),0))</f>
        <v>35922472.699270383</v>
      </c>
      <c r="X18" s="151">
        <f>IF(W$8=0,0,MAX((W18*(1+'Data Input 2'!$K$34)*X$8/W$8),0))</f>
        <v>35913050.411349259</v>
      </c>
    </row>
    <row r="19" spans="1:24" outlineLevel="1" x14ac:dyDescent="0.2">
      <c r="A19" s="150" t="str">
        <f>"Residential Water Block 3 (" &amp;'Data Input 1'!B12 &amp;" to " &amp;'Data Input 1'!D12 &amp;" gal/month):"</f>
        <v>Residential Water Block 3 (0 to 0 gal/month):</v>
      </c>
      <c r="B19" s="157">
        <f>'Data Input 2'!D13</f>
        <v>0</v>
      </c>
      <c r="C19" s="158">
        <f>B19*12</f>
        <v>0</v>
      </c>
      <c r="D19" s="151">
        <f>IF(C$8=0,0,MAX((C19*(1+'Data Input 2'!$K$34)*D$8/C$8),0))</f>
        <v>0</v>
      </c>
      <c r="E19" s="151">
        <f>IF(D$8=0,0,MAX((D19*(1+'Data Input 2'!$K$34)*E$8/D$8),0))</f>
        <v>0</v>
      </c>
      <c r="F19" s="151">
        <f>IF(E$8=0,0,MAX((E19*(1+'Data Input 2'!$K$34)*F$8/E$8),0))</f>
        <v>0</v>
      </c>
      <c r="G19" s="151">
        <f>IF(F$8=0,0,MAX((F19*(1+'Data Input 2'!$K$34)*G$8/F$8),0))</f>
        <v>0</v>
      </c>
      <c r="H19" s="151">
        <f>IF(G$8=0,0,MAX((G19*(1+'Data Input 2'!$K$34)*H$8/G$8),0))</f>
        <v>0</v>
      </c>
      <c r="I19" s="151">
        <f>IF(H$8=0,0,MAX((H19*(1+'Data Input 2'!$K$34)*I$8/H$8),0))</f>
        <v>0</v>
      </c>
      <c r="J19" s="151">
        <f>IF(I$8=0,0,MAX((I19*(1+'Data Input 2'!$K$34)*J$8/I$8),0))</f>
        <v>0</v>
      </c>
      <c r="K19" s="151">
        <f>IF(J$8=0,0,MAX((J19*(1+'Data Input 2'!$K$34)*K$8/J$8),0))</f>
        <v>0</v>
      </c>
      <c r="L19" s="151">
        <f>IF(K$8=0,0,MAX((K19*(1+'Data Input 2'!$K$34)*L$8/K$8),0))</f>
        <v>0</v>
      </c>
      <c r="M19" s="151">
        <f>IF(L$8=0,0,MAX((L19*(1+'Data Input 2'!$K$34)*M$8/L$8),0))</f>
        <v>0</v>
      </c>
      <c r="N19" s="151">
        <f>IF(M$8=0,0,MAX((M19*(1+'Data Input 2'!$K$34)*N$8/M$8),0))</f>
        <v>0</v>
      </c>
      <c r="O19" s="151">
        <f>IF(N$8=0,0,MAX((N19*(1+'Data Input 2'!$K$34)*O$8/N$8),0))</f>
        <v>0</v>
      </c>
      <c r="P19" s="151">
        <f>IF(O$8=0,0,MAX((O19*(1+'Data Input 2'!$K$34)*P$8/O$8),0))</f>
        <v>0</v>
      </c>
      <c r="Q19" s="151">
        <f>IF(P$8=0,0,MAX((P19*(1+'Data Input 2'!$K$34)*Q$8/P$8),0))</f>
        <v>0</v>
      </c>
      <c r="R19" s="151">
        <f>IF(Q$8=0,0,MAX((Q19*(1+'Data Input 2'!$K$34)*R$8/Q$8),0))</f>
        <v>0</v>
      </c>
      <c r="S19" s="151">
        <f>IF(R$8=0,0,MAX((R19*(1+'Data Input 2'!$K$34)*S$8/R$8),0))</f>
        <v>0</v>
      </c>
      <c r="T19" s="151">
        <f>IF(S$8=0,0,MAX((S19*(1+'Data Input 2'!$K$34)*T$8/S$8),0))</f>
        <v>0</v>
      </c>
      <c r="U19" s="151">
        <f>IF(T$8=0,0,MAX((T19*(1+'Data Input 2'!$K$34)*U$8/T$8),0))</f>
        <v>0</v>
      </c>
      <c r="V19" s="151">
        <f>IF(U$8=0,0,MAX((U19*(1+'Data Input 2'!$K$34)*V$8/U$8),0))</f>
        <v>0</v>
      </c>
      <c r="W19" s="151">
        <f>IF(V$8=0,0,MAX((V19*(1+'Data Input 2'!$K$34)*W$8/V$8),0))</f>
        <v>0</v>
      </c>
      <c r="X19" s="151">
        <f>IF(W$8=0,0,MAX((W19*(1+'Data Input 2'!$K$34)*X$8/W$8),0))</f>
        <v>0</v>
      </c>
    </row>
    <row r="20" spans="1:24" outlineLevel="1" x14ac:dyDescent="0.2">
      <c r="A20" s="150" t="str">
        <f>"Residential Water Block 4 (" &amp;'Data Input 1'!B13 &amp;" to " &amp;'Data Input 1'!D13 &amp;" gal/month):"</f>
        <v>Residential Water Block 4 (0 to 0 gal/month):</v>
      </c>
      <c r="B20" s="157">
        <f>'Data Input 2'!D14</f>
        <v>0</v>
      </c>
      <c r="C20" s="158">
        <f>B20*12</f>
        <v>0</v>
      </c>
      <c r="D20" s="151">
        <f>IF(C$8=0,0,MAX((C20*(1+'Data Input 2'!$K$34)*D$8/C$8),0))</f>
        <v>0</v>
      </c>
      <c r="E20" s="151">
        <f>IF(D$8=0,0,MAX((D20*(1+'Data Input 2'!$K$34)*E$8/D$8),0))</f>
        <v>0</v>
      </c>
      <c r="F20" s="151">
        <f>IF(E$8=0,0,MAX((E20*(1+'Data Input 2'!$K$34)*F$8/E$8),0))</f>
        <v>0</v>
      </c>
      <c r="G20" s="151">
        <f>IF(F$8=0,0,MAX((F20*(1+'Data Input 2'!$K$34)*G$8/F$8),0))</f>
        <v>0</v>
      </c>
      <c r="H20" s="151">
        <f>IF(G$8=0,0,MAX((G20*(1+'Data Input 2'!$K$34)*H$8/G$8),0))</f>
        <v>0</v>
      </c>
      <c r="I20" s="151">
        <f>IF(H$8=0,0,MAX((H20*(1+'Data Input 2'!$K$34)*I$8/H$8),0))</f>
        <v>0</v>
      </c>
      <c r="J20" s="151">
        <f>IF(I$8=0,0,MAX((I20*(1+'Data Input 2'!$K$34)*J$8/I$8),0))</f>
        <v>0</v>
      </c>
      <c r="K20" s="151">
        <f>IF(J$8=0,0,MAX((J20*(1+'Data Input 2'!$K$34)*K$8/J$8),0))</f>
        <v>0</v>
      </c>
      <c r="L20" s="151">
        <f>IF(K$8=0,0,MAX((K20*(1+'Data Input 2'!$K$34)*L$8/K$8),0))</f>
        <v>0</v>
      </c>
      <c r="M20" s="151">
        <f>IF(L$8=0,0,MAX((L20*(1+'Data Input 2'!$K$34)*M$8/L$8),0))</f>
        <v>0</v>
      </c>
      <c r="N20" s="151">
        <f>IF(M$8=0,0,MAX((M20*(1+'Data Input 2'!$K$34)*N$8/M$8),0))</f>
        <v>0</v>
      </c>
      <c r="O20" s="151">
        <f>IF(N$8=0,0,MAX((N20*(1+'Data Input 2'!$K$34)*O$8/N$8),0))</f>
        <v>0</v>
      </c>
      <c r="P20" s="151">
        <f>IF(O$8=0,0,MAX((O20*(1+'Data Input 2'!$K$34)*P$8/O$8),0))</f>
        <v>0</v>
      </c>
      <c r="Q20" s="151">
        <f>IF(P$8=0,0,MAX((P20*(1+'Data Input 2'!$K$34)*Q$8/P$8),0))</f>
        <v>0</v>
      </c>
      <c r="R20" s="151">
        <f>IF(Q$8=0,0,MAX((Q20*(1+'Data Input 2'!$K$34)*R$8/Q$8),0))</f>
        <v>0</v>
      </c>
      <c r="S20" s="151">
        <f>IF(R$8=0,0,MAX((R20*(1+'Data Input 2'!$K$34)*S$8/R$8),0))</f>
        <v>0</v>
      </c>
      <c r="T20" s="151">
        <f>IF(S$8=0,0,MAX((S20*(1+'Data Input 2'!$K$34)*T$8/S$8),0))</f>
        <v>0</v>
      </c>
      <c r="U20" s="151">
        <f>IF(T$8=0,0,MAX((T20*(1+'Data Input 2'!$K$34)*U$8/T$8),0))</f>
        <v>0</v>
      </c>
      <c r="V20" s="151">
        <f>IF(U$8=0,0,MAX((U20*(1+'Data Input 2'!$K$34)*V$8/U$8),0))</f>
        <v>0</v>
      </c>
      <c r="W20" s="151">
        <f>IF(V$8=0,0,MAX((V20*(1+'Data Input 2'!$K$34)*W$8/V$8),0))</f>
        <v>0</v>
      </c>
      <c r="X20" s="151">
        <f>IF(W$8=0,0,MAX((W20*(1+'Data Input 2'!$K$34)*X$8/W$8),0))</f>
        <v>0</v>
      </c>
    </row>
    <row r="21" spans="1:24" outlineLevel="1" x14ac:dyDescent="0.2">
      <c r="A21" s="150" t="str">
        <f>"Residential Water Block 5 (" &amp;'Data Input 1'!B14 &amp;" and above):"</f>
        <v>Residential Water Block 5 (8001 and above):</v>
      </c>
      <c r="B21" s="157">
        <f>'Data Input 2'!D15</f>
        <v>1000000</v>
      </c>
      <c r="C21" s="158">
        <f>B21*12</f>
        <v>12000000</v>
      </c>
      <c r="D21" s="151">
        <f>IF(C$8=0,0,MAX((C21*(1+'Data Input 2'!$K$34)*D$8/C$8),0))</f>
        <v>11998800</v>
      </c>
      <c r="E21" s="151">
        <f>IF(D$8=0,0,MAX((D21*(1+'Data Input 2'!$K$34)*E$8/D$8),0))</f>
        <v>11996424</v>
      </c>
      <c r="F21" s="151">
        <f>IF(E$8=0,0,MAX((E21*(1+'Data Input 2'!$K$34)*F$8/E$8),0))</f>
        <v>11992895.639999999</v>
      </c>
      <c r="G21" s="151">
        <f>IF(F$8=0,0,MAX((F21*(1+'Data Input 2'!$K$34)*G$8/F$8),0))</f>
        <v>11988238.204799999</v>
      </c>
      <c r="H21" s="151">
        <f>IF(G$8=0,0,MAX((G21*(1+'Data Input 2'!$K$34)*H$8/G$8),0))</f>
        <v>11982474.62874</v>
      </c>
      <c r="I21" s="151">
        <f>IF(H$8=0,0,MAX((H21*(1+'Data Input 2'!$K$34)*I$8/H$8),0))</f>
        <v>11986925.262173532</v>
      </c>
      <c r="J21" s="151">
        <f>IF(I$8=0,0,MAX((I21*(1+'Data Input 2'!$K$34)*J$8/I$8),0))</f>
        <v>11990088.63547552</v>
      </c>
      <c r="K21" s="151">
        <f>IF(J$8=0,0,MAX((J21*(1+'Data Input 2'!$K$34)*K$8/J$8),0))</f>
        <v>11991990.048785251</v>
      </c>
      <c r="L21" s="151">
        <f>IF(K$8=0,0,MAX((K21*(1+'Data Input 2'!$K$34)*L$8/K$8),0))</f>
        <v>11992654.424965238</v>
      </c>
      <c r="M21" s="151">
        <f>IF(L$8=0,0,MAX((L21*(1+'Data Input 2'!$K$34)*M$8/L$8),0))</f>
        <v>11992106.314616749</v>
      </c>
      <c r="N21" s="151">
        <f>IF(M$8=0,0,MAX((M21*(1+'Data Input 2'!$K$34)*N$8/M$8),0))</f>
        <v>11990369.901032731</v>
      </c>
      <c r="O21" s="151">
        <f>IF(N$8=0,0,MAX((N21*(1+'Data Input 2'!$K$34)*O$8/N$8),0))</f>
        <v>11987469.005088933</v>
      </c>
      <c r="P21" s="151">
        <f>IF(O$8=0,0,MAX((O21*(1+'Data Input 2'!$K$34)*P$8/O$8),0))</f>
        <v>11983427.090073908</v>
      </c>
      <c r="Q21" s="151">
        <f>IF(P$8=0,0,MAX((P21*(1+'Data Input 2'!$K$34)*Q$8/P$8),0))</f>
        <v>11978267.266458673</v>
      </c>
      <c r="R21" s="151">
        <f>IF(Q$8=0,0,MAX((Q21*(1+'Data Input 2'!$K$34)*R$8/Q$8),0))</f>
        <v>11972012.296606738</v>
      </c>
      <c r="S21" s="151">
        <f>IF(R$8=0,0,MAX((R21*(1+'Data Input 2'!$K$34)*S$8/R$8),0))</f>
        <v>11974902.092678333</v>
      </c>
      <c r="T21" s="151">
        <f>IF(S$8=0,0,MAX((S21*(1+'Data Input 2'!$K$34)*T$8/S$8),0))</f>
        <v>11976536.891598836</v>
      </c>
      <c r="U21" s="151">
        <f>IF(T$8=0,0,MAX((T21*(1+'Data Input 2'!$K$34)*U$8/T$8),0))</f>
        <v>11976941.50433166</v>
      </c>
      <c r="V21" s="151">
        <f>IF(U$8=0,0,MAX((U21*(1+'Data Input 2'!$K$34)*V$8/U$8),0))</f>
        <v>11976140.371120667</v>
      </c>
      <c r="W21" s="151">
        <f>IF(V$8=0,0,MAX((V21*(1+'Data Input 2'!$K$34)*W$8/V$8),0))</f>
        <v>11974157.566423461</v>
      </c>
      <c r="X21" s="151">
        <f>IF(W$8=0,0,MAX((W21*(1+'Data Input 2'!$K$34)*X$8/W$8),0))</f>
        <v>11971016.803783087</v>
      </c>
    </row>
    <row r="22" spans="1:24" outlineLevel="1" x14ac:dyDescent="0.2">
      <c r="A22" s="159" t="s">
        <v>60</v>
      </c>
      <c r="B22" s="157"/>
      <c r="C22" s="160">
        <f>SUM(C17:C21)</f>
        <v>66000000</v>
      </c>
      <c r="D22" s="160">
        <f t="shared" ref="D22:O22" si="1">SUM(D17:D21)</f>
        <v>65993400</v>
      </c>
      <c r="E22" s="160">
        <f t="shared" si="1"/>
        <v>65980332</v>
      </c>
      <c r="F22" s="160">
        <f t="shared" si="1"/>
        <v>65960926.020000003</v>
      </c>
      <c r="G22" s="160">
        <f t="shared" si="1"/>
        <v>65935310.126399994</v>
      </c>
      <c r="H22" s="160">
        <f t="shared" si="1"/>
        <v>65903610.458069988</v>
      </c>
      <c r="I22" s="160">
        <f t="shared" si="1"/>
        <v>65928088.941954419</v>
      </c>
      <c r="J22" s="160">
        <f t="shared" si="1"/>
        <v>65945487.495115355</v>
      </c>
      <c r="K22" s="160">
        <f t="shared" si="1"/>
        <v>65955945.268318877</v>
      </c>
      <c r="L22" s="160">
        <f t="shared" si="1"/>
        <v>65959599.337308809</v>
      </c>
      <c r="M22" s="160">
        <f t="shared" si="1"/>
        <v>65956584.730392106</v>
      </c>
      <c r="N22" s="160">
        <f t="shared" si="1"/>
        <v>65947034.455680028</v>
      </c>
      <c r="O22" s="160">
        <f t="shared" si="1"/>
        <v>65931079.527989142</v>
      </c>
      <c r="P22" s="160">
        <f t="shared" ref="P22:T22" si="2">SUM(P17:P21)</f>
        <v>65908848.995406494</v>
      </c>
      <c r="Q22" s="160">
        <f t="shared" si="2"/>
        <v>65880469.965522714</v>
      </c>
      <c r="R22" s="160">
        <f t="shared" si="2"/>
        <v>65846067.631337062</v>
      </c>
      <c r="S22" s="160">
        <f t="shared" si="2"/>
        <v>65861961.509730831</v>
      </c>
      <c r="T22" s="160">
        <f t="shared" si="2"/>
        <v>65870952.903793596</v>
      </c>
      <c r="U22" s="160">
        <f t="shared" ref="U22:W22" si="3">SUM(U17:U21)</f>
        <v>65873178.27382414</v>
      </c>
      <c r="V22" s="160">
        <f t="shared" si="3"/>
        <v>65868772.041163668</v>
      </c>
      <c r="W22" s="160">
        <f t="shared" si="3"/>
        <v>65857866.615329035</v>
      </c>
      <c r="X22" s="160">
        <f t="shared" ref="X22" si="4">SUM(X17:X21)</f>
        <v>65840592.420806974</v>
      </c>
    </row>
    <row r="23" spans="1:24" outlineLevel="1" x14ac:dyDescent="0.2">
      <c r="A23" s="150"/>
      <c r="B23" s="161"/>
      <c r="D23" s="151"/>
      <c r="E23" s="151"/>
      <c r="F23" s="151"/>
      <c r="G23" s="151"/>
      <c r="H23" s="151"/>
      <c r="I23" s="151"/>
      <c r="J23" s="151"/>
      <c r="K23" s="151"/>
      <c r="L23" s="151"/>
      <c r="M23" s="151"/>
      <c r="N23" s="151"/>
      <c r="O23" s="151"/>
      <c r="P23" s="151"/>
      <c r="Q23" s="151"/>
      <c r="R23" s="151"/>
      <c r="S23" s="151"/>
      <c r="T23" s="151"/>
      <c r="U23" s="151"/>
      <c r="V23" s="151"/>
      <c r="W23" s="151"/>
      <c r="X23" s="151"/>
    </row>
    <row r="24" spans="1:24" outlineLevel="1" x14ac:dyDescent="0.2">
      <c r="A24" s="150" t="str">
        <f>"Residential Sewer Block 1 (" &amp;'Data Input 1'!B18 &amp;" to " &amp;'Data Input 1'!D18 &amp;" gal/month):"</f>
        <v>Residential Sewer Block 1 (0 to 3000 gal/month):</v>
      </c>
      <c r="B24" s="157">
        <f>'Data Input 2'!D17</f>
        <v>1200000</v>
      </c>
      <c r="C24" s="158">
        <f t="shared" ref="C24:C28" si="5">B24*12</f>
        <v>14400000</v>
      </c>
      <c r="D24" s="151">
        <f>IF(C$9=0,0,MAX((C24*(1+'Data Input 2'!$K$34)*D$9/C$9),0))</f>
        <v>14398560</v>
      </c>
      <c r="E24" s="151">
        <f>IF(D$9=0,0,MAX((D24*(1+'Data Input 2'!$K$34)*E$9/D$9),0))</f>
        <v>14395708.799999999</v>
      </c>
      <c r="F24" s="151">
        <f>IF(E$9=0,0,MAX((E24*(1+'Data Input 2'!$K$34)*F$9/E$9),0))</f>
        <v>14391474.767999999</v>
      </c>
      <c r="G24" s="151">
        <f>IF(F$9=0,0,MAX((F24*(1+'Data Input 2'!$K$34)*G$9/F$9),0))</f>
        <v>14385885.845759999</v>
      </c>
      <c r="H24" s="151">
        <f>IF(G$9=0,0,MAX((G24*(1+'Data Input 2'!$K$34)*H$9/G$9),0))</f>
        <v>14378969.554488</v>
      </c>
      <c r="I24" s="151">
        <f>IF(H$9=0,0,MAX((H24*(1+'Data Input 2'!$K$34)*I$9/H$9),0))</f>
        <v>14370753.000456864</v>
      </c>
      <c r="J24" s="151">
        <f>IF(I$9=0,0,MAX((I24*(1+'Data Input 2'!$K$34)*J$9/I$9),0))</f>
        <v>14361262.880550902</v>
      </c>
      <c r="K24" s="151">
        <f>IF(J$9=0,0,MAX((J24*(1+'Data Input 2'!$K$34)*K$9/J$9),0))</f>
        <v>14367134.892242717</v>
      </c>
      <c r="L24" s="151">
        <f>IF(K$9=0,0,MAX((K24*(1+'Data Input 2'!$K$34)*L$9/K$9),0))</f>
        <v>14371453.337412639</v>
      </c>
      <c r="M24" s="151">
        <f>IF(L$9=0,0,MAX((L24*(1+'Data Input 2'!$K$34)*M$9/L$9),0))</f>
        <v>14374248.700189937</v>
      </c>
      <c r="N24" s="151">
        <f>IF(M$9=0,0,MAX((M24*(1+'Data Input 2'!$K$34)*N$9/M$9),0))</f>
        <v>14375551.010377949</v>
      </c>
      <c r="O24" s="151">
        <f>IF(N$9=0,0,MAX((N24*(1+'Data Input 2'!$K$34)*O$9/N$9),0))</f>
        <v>14375389.849492183</v>
      </c>
      <c r="P24" s="151">
        <f>IF(O$9=0,0,MAX((O24*(1+'Data Input 2'!$K$34)*P$9/O$9),0))</f>
        <v>14373794.356723092</v>
      </c>
      <c r="Q24" s="151">
        <f>IF(P$9=0,0,MAX((P24*(1+'Data Input 2'!$K$34)*Q$9/P$9),0))</f>
        <v>14370793.234824436</v>
      </c>
      <c r="R24" s="151">
        <f>IF(Q$9=0,0,MAX((Q24*(1+'Data Input 2'!$K$34)*R$9/Q$9),0))</f>
        <v>14366414.755928081</v>
      </c>
      <c r="S24" s="151">
        <f>IF(R$9=0,0,MAX((R24*(1+'Data Input 2'!$K$34)*S$9/R$9),0))</f>
        <v>14360686.767286168</v>
      </c>
      <c r="T24" s="151">
        <f>IF(S$9=0,0,MAX((S24*(1+'Data Input 2'!$K$34)*T$9/S$9),0))</f>
        <v>14353636.696941502</v>
      </c>
      <c r="U24" s="151">
        <f>IF(T$9=0,0,MAX((T24*(1+'Data Input 2'!$K$34)*U$9/T$9),0))</f>
        <v>14345291.559327001</v>
      </c>
      <c r="V24" s="151">
        <f>IF(U$9=0,0,MAX((U24*(1+'Data Input 2'!$K$34)*V$9/U$9),0))</f>
        <v>14350548.996024137</v>
      </c>
      <c r="W24" s="151">
        <f>IF(V$9=0,0,MAX((V24*(1+'Data Input 2'!$K$34)*W$9/V$9),0))</f>
        <v>14354266.754831398</v>
      </c>
      <c r="X24" s="151">
        <f>IF(W$9=0,0,MAX((W24*(1+'Data Input 2'!$K$34)*X$9/W$9),0))</f>
        <v>14356475.103562912</v>
      </c>
    </row>
    <row r="25" spans="1:24" outlineLevel="1" x14ac:dyDescent="0.2">
      <c r="A25" s="150" t="str">
        <f>"Residential Sewer Block 2 (" &amp;'Data Input 1'!B19 &amp;" to " &amp;'Data Input 1'!D19 &amp;" gal/month):"</f>
        <v>Residential Sewer Block 2 (3001 to 8000 gal/month):</v>
      </c>
      <c r="B25" s="157">
        <f>'Data Input 2'!D18</f>
        <v>2400000</v>
      </c>
      <c r="C25" s="158">
        <f t="shared" si="5"/>
        <v>28800000</v>
      </c>
      <c r="D25" s="151">
        <f>IF(C$9=0,0,MAX((C25*(1+'Data Input 2'!$K$34)*D$9/C$9),0))</f>
        <v>28797120</v>
      </c>
      <c r="E25" s="151">
        <f>IF(D$9=0,0,MAX((D25*(1+'Data Input 2'!$K$34)*E$9/D$9),0))</f>
        <v>28791417.599999998</v>
      </c>
      <c r="F25" s="151">
        <f>IF(E$9=0,0,MAX((E25*(1+'Data Input 2'!$K$34)*F$9/E$9),0))</f>
        <v>28782949.535999998</v>
      </c>
      <c r="G25" s="151">
        <f>IF(F$9=0,0,MAX((F25*(1+'Data Input 2'!$K$34)*G$9/F$9),0))</f>
        <v>28771771.691519998</v>
      </c>
      <c r="H25" s="151">
        <f>IF(G$9=0,0,MAX((G25*(1+'Data Input 2'!$K$34)*H$9/G$9),0))</f>
        <v>28757939.108975999</v>
      </c>
      <c r="I25" s="151">
        <f>IF(H$9=0,0,MAX((H25*(1+'Data Input 2'!$K$34)*I$9/H$9),0))</f>
        <v>28741506.000913728</v>
      </c>
      <c r="J25" s="151">
        <f>IF(I$9=0,0,MAX((I25*(1+'Data Input 2'!$K$34)*J$9/I$9),0))</f>
        <v>28722525.761101805</v>
      </c>
      <c r="K25" s="151">
        <f>IF(J$9=0,0,MAX((J25*(1+'Data Input 2'!$K$34)*K$9/J$9),0))</f>
        <v>28734269.784485433</v>
      </c>
      <c r="L25" s="151">
        <f>IF(K$9=0,0,MAX((K25*(1+'Data Input 2'!$K$34)*L$9/K$9),0))</f>
        <v>28742906.674825277</v>
      </c>
      <c r="M25" s="151">
        <f>IF(L$9=0,0,MAX((L25*(1+'Data Input 2'!$K$34)*M$9/L$9),0))</f>
        <v>28748497.400379874</v>
      </c>
      <c r="N25" s="151">
        <f>IF(M$9=0,0,MAX((M25*(1+'Data Input 2'!$K$34)*N$9/M$9),0))</f>
        <v>28751102.020755898</v>
      </c>
      <c r="O25" s="151">
        <f>IF(N$9=0,0,MAX((N25*(1+'Data Input 2'!$K$34)*O$9/N$9),0))</f>
        <v>28750779.698984366</v>
      </c>
      <c r="P25" s="151">
        <f>IF(O$9=0,0,MAX((O25*(1+'Data Input 2'!$K$34)*P$9/O$9),0))</f>
        <v>28747588.713446185</v>
      </c>
      <c r="Q25" s="151">
        <f>IF(P$9=0,0,MAX((P25*(1+'Data Input 2'!$K$34)*Q$9/P$9),0))</f>
        <v>28741586.469648872</v>
      </c>
      <c r="R25" s="151">
        <f>IF(Q$9=0,0,MAX((Q25*(1+'Data Input 2'!$K$34)*R$9/Q$9),0))</f>
        <v>28732829.511856161</v>
      </c>
      <c r="S25" s="151">
        <f>IF(R$9=0,0,MAX((R25*(1+'Data Input 2'!$K$34)*S$9/R$9),0))</f>
        <v>28721373.534572337</v>
      </c>
      <c r="T25" s="151">
        <f>IF(S$9=0,0,MAX((S25*(1+'Data Input 2'!$K$34)*T$9/S$9),0))</f>
        <v>28707273.393883005</v>
      </c>
      <c r="U25" s="151">
        <f>IF(T$9=0,0,MAX((T25*(1+'Data Input 2'!$K$34)*U$9/T$9),0))</f>
        <v>28690583.118654002</v>
      </c>
      <c r="V25" s="151">
        <f>IF(U$9=0,0,MAX((U25*(1+'Data Input 2'!$K$34)*V$9/U$9),0))</f>
        <v>28701097.992048275</v>
      </c>
      <c r="W25" s="151">
        <f>IF(V$9=0,0,MAX((V25*(1+'Data Input 2'!$K$34)*W$9/V$9),0))</f>
        <v>28708533.509662796</v>
      </c>
      <c r="X25" s="151">
        <f>IF(W$9=0,0,MAX((W25*(1+'Data Input 2'!$K$34)*X$9/W$9),0))</f>
        <v>28712950.207125824</v>
      </c>
    </row>
    <row r="26" spans="1:24" outlineLevel="1" x14ac:dyDescent="0.2">
      <c r="A26" s="150" t="str">
        <f>"Residential Sewer Block 3 (" &amp;'Data Input 1'!B20 &amp;" to " &amp;'Data Input 1'!D20 &amp;" gal/month):"</f>
        <v>Residential Sewer Block 3 (0 to 0 gal/month):</v>
      </c>
      <c r="B26" s="157">
        <f>'Data Input 2'!D19</f>
        <v>0</v>
      </c>
      <c r="C26" s="158">
        <f t="shared" si="5"/>
        <v>0</v>
      </c>
      <c r="D26" s="151">
        <f>IF(C$9=0,0,MAX((C26*(1+'Data Input 2'!$K$34)*D$9/C$9),0))</f>
        <v>0</v>
      </c>
      <c r="E26" s="151">
        <f>IF(D$9=0,0,MAX((D26*(1+'Data Input 2'!$K$34)*E$9/D$9),0))</f>
        <v>0</v>
      </c>
      <c r="F26" s="151">
        <f>IF(E$9=0,0,MAX((E26*(1+'Data Input 2'!$K$34)*F$9/E$9),0))</f>
        <v>0</v>
      </c>
      <c r="G26" s="151">
        <f>IF(F$9=0,0,MAX((F26*(1+'Data Input 2'!$K$34)*G$9/F$9),0))</f>
        <v>0</v>
      </c>
      <c r="H26" s="151">
        <f>IF(G$9=0,0,MAX((G26*(1+'Data Input 2'!$K$34)*H$9/G$9),0))</f>
        <v>0</v>
      </c>
      <c r="I26" s="151">
        <f>IF(H$9=0,0,MAX((H26*(1+'Data Input 2'!$K$34)*I$9/H$9),0))</f>
        <v>0</v>
      </c>
      <c r="J26" s="151">
        <f>IF(I$9=0,0,MAX((I26*(1+'Data Input 2'!$K$34)*J$9/I$9),0))</f>
        <v>0</v>
      </c>
      <c r="K26" s="151">
        <f>IF(J$9=0,0,MAX((J26*(1+'Data Input 2'!$K$34)*K$9/J$9),0))</f>
        <v>0</v>
      </c>
      <c r="L26" s="151">
        <f>IF(K$9=0,0,MAX((K26*(1+'Data Input 2'!$K$34)*L$9/K$9),0))</f>
        <v>0</v>
      </c>
      <c r="M26" s="151">
        <f>IF(L$9=0,0,MAX((L26*(1+'Data Input 2'!$K$34)*M$9/L$9),0))</f>
        <v>0</v>
      </c>
      <c r="N26" s="151">
        <f>IF(M$9=0,0,MAX((M26*(1+'Data Input 2'!$K$34)*N$9/M$9),0))</f>
        <v>0</v>
      </c>
      <c r="O26" s="151">
        <f>IF(N$9=0,0,MAX((N26*(1+'Data Input 2'!$K$34)*O$9/N$9),0))</f>
        <v>0</v>
      </c>
      <c r="P26" s="151">
        <f>IF(O$9=0,0,MAX((O26*(1+'Data Input 2'!$K$34)*P$9/O$9),0))</f>
        <v>0</v>
      </c>
      <c r="Q26" s="151">
        <f>IF(P$9=0,0,MAX((P26*(1+'Data Input 2'!$K$34)*Q$9/P$9),0))</f>
        <v>0</v>
      </c>
      <c r="R26" s="151">
        <f>IF(Q$9=0,0,MAX((Q26*(1+'Data Input 2'!$K$34)*R$9/Q$9),0))</f>
        <v>0</v>
      </c>
      <c r="S26" s="151">
        <f>IF(R$9=0,0,MAX((R26*(1+'Data Input 2'!$K$34)*S$9/R$9),0))</f>
        <v>0</v>
      </c>
      <c r="T26" s="151">
        <f>IF(S$9=0,0,MAX((S26*(1+'Data Input 2'!$K$34)*T$9/S$9),0))</f>
        <v>0</v>
      </c>
      <c r="U26" s="151">
        <f>IF(T$9=0,0,MAX((T26*(1+'Data Input 2'!$K$34)*U$9/T$9),0))</f>
        <v>0</v>
      </c>
      <c r="V26" s="151">
        <f>IF(U$9=0,0,MAX((U26*(1+'Data Input 2'!$K$34)*V$9/U$9),0))</f>
        <v>0</v>
      </c>
      <c r="W26" s="151">
        <f>IF(V$9=0,0,MAX((V26*(1+'Data Input 2'!$K$34)*W$9/V$9),0))</f>
        <v>0</v>
      </c>
      <c r="X26" s="151">
        <f>IF(W$9=0,0,MAX((W26*(1+'Data Input 2'!$K$34)*X$9/W$9),0))</f>
        <v>0</v>
      </c>
    </row>
    <row r="27" spans="1:24" outlineLevel="1" x14ac:dyDescent="0.2">
      <c r="A27" s="150" t="str">
        <f>"Residential Sewer Block 4 (" &amp;'Data Input 1'!B21 &amp;" to " &amp;'Data Input 1'!D21 &amp;" gal/month):"</f>
        <v>Residential Sewer Block 4 (0 to 0 gal/month):</v>
      </c>
      <c r="B27" s="157">
        <f>'Data Input 2'!D20</f>
        <v>0</v>
      </c>
      <c r="C27" s="158">
        <f t="shared" si="5"/>
        <v>0</v>
      </c>
      <c r="D27" s="151">
        <f>IF(C$9=0,0,MAX((C27*(1+'Data Input 2'!$K$34)*D$9/C$9),0))</f>
        <v>0</v>
      </c>
      <c r="E27" s="151">
        <f>IF(D$9=0,0,MAX((D27*(1+'Data Input 2'!$K$34)*E$9/D$9),0))</f>
        <v>0</v>
      </c>
      <c r="F27" s="151">
        <f>IF(E$9=0,0,MAX((E27*(1+'Data Input 2'!$K$34)*F$9/E$9),0))</f>
        <v>0</v>
      </c>
      <c r="G27" s="151">
        <f>IF(F$9=0,0,MAX((F27*(1+'Data Input 2'!$K$34)*G$9/F$9),0))</f>
        <v>0</v>
      </c>
      <c r="H27" s="151">
        <f>IF(G$9=0,0,MAX((G27*(1+'Data Input 2'!$K$34)*H$9/G$9),0))</f>
        <v>0</v>
      </c>
      <c r="I27" s="151">
        <f>IF(H$9=0,0,MAX((H27*(1+'Data Input 2'!$K$34)*I$9/H$9),0))</f>
        <v>0</v>
      </c>
      <c r="J27" s="151">
        <f>IF(I$9=0,0,MAX((I27*(1+'Data Input 2'!$K$34)*J$9/I$9),0))</f>
        <v>0</v>
      </c>
      <c r="K27" s="151">
        <f>IF(J$9=0,0,MAX((J27*(1+'Data Input 2'!$K$34)*K$9/J$9),0))</f>
        <v>0</v>
      </c>
      <c r="L27" s="151">
        <f>IF(K$9=0,0,MAX((K27*(1+'Data Input 2'!$K$34)*L$9/K$9),0))</f>
        <v>0</v>
      </c>
      <c r="M27" s="151">
        <f>IF(L$9=0,0,MAX((L27*(1+'Data Input 2'!$K$34)*M$9/L$9),0))</f>
        <v>0</v>
      </c>
      <c r="N27" s="151">
        <f>IF(M$9=0,0,MAX((M27*(1+'Data Input 2'!$K$34)*N$9/M$9),0))</f>
        <v>0</v>
      </c>
      <c r="O27" s="151">
        <f>IF(N$9=0,0,MAX((N27*(1+'Data Input 2'!$K$34)*O$9/N$9),0))</f>
        <v>0</v>
      </c>
      <c r="P27" s="151">
        <f>IF(O$9=0,0,MAX((O27*(1+'Data Input 2'!$K$34)*P$9/O$9),0))</f>
        <v>0</v>
      </c>
      <c r="Q27" s="151">
        <f>IF(P$9=0,0,MAX((P27*(1+'Data Input 2'!$K$34)*Q$9/P$9),0))</f>
        <v>0</v>
      </c>
      <c r="R27" s="151">
        <f>IF(Q$9=0,0,MAX((Q27*(1+'Data Input 2'!$K$34)*R$9/Q$9),0))</f>
        <v>0</v>
      </c>
      <c r="S27" s="151">
        <f>IF(R$9=0,0,MAX((R27*(1+'Data Input 2'!$K$34)*S$9/R$9),0))</f>
        <v>0</v>
      </c>
      <c r="T27" s="151">
        <f>IF(S$9=0,0,MAX((S27*(1+'Data Input 2'!$K$34)*T$9/S$9),0))</f>
        <v>0</v>
      </c>
      <c r="U27" s="151">
        <f>IF(T$9=0,0,MAX((T27*(1+'Data Input 2'!$K$34)*U$9/T$9),0))</f>
        <v>0</v>
      </c>
      <c r="V27" s="151">
        <f>IF(U$9=0,0,MAX((U27*(1+'Data Input 2'!$K$34)*V$9/U$9),0))</f>
        <v>0</v>
      </c>
      <c r="W27" s="151">
        <f>IF(V$9=0,0,MAX((V27*(1+'Data Input 2'!$K$34)*W$9/V$9),0))</f>
        <v>0</v>
      </c>
      <c r="X27" s="151">
        <f>IF(W$9=0,0,MAX((W27*(1+'Data Input 2'!$K$34)*X$9/W$9),0))</f>
        <v>0</v>
      </c>
    </row>
    <row r="28" spans="1:24" outlineLevel="1" x14ac:dyDescent="0.2">
      <c r="A28" s="150" t="str">
        <f>"Residential Sewer Block 5 (" &amp;'Data Input 1'!B22 &amp;" and above):"</f>
        <v>Residential Sewer Block 5 (8001 and above):</v>
      </c>
      <c r="B28" s="157">
        <f>'Data Input 2'!D21</f>
        <v>800000</v>
      </c>
      <c r="C28" s="158">
        <f t="shared" si="5"/>
        <v>9600000</v>
      </c>
      <c r="D28" s="151">
        <f>IF(C$9=0,0,MAX((C28*(1+'Data Input 2'!$K$34)*D$9/C$9),0))</f>
        <v>9599040</v>
      </c>
      <c r="E28" s="151">
        <f>IF(D$9=0,0,MAX((D28*(1+'Data Input 2'!$K$34)*E$9/D$9),0))</f>
        <v>9597139.1999999993</v>
      </c>
      <c r="F28" s="151">
        <f>IF(E$9=0,0,MAX((E28*(1+'Data Input 2'!$K$34)*F$9/E$9),0))</f>
        <v>9594316.5119999982</v>
      </c>
      <c r="G28" s="151">
        <f>IF(F$9=0,0,MAX((F28*(1+'Data Input 2'!$K$34)*G$9/F$9),0))</f>
        <v>9590590.5638399981</v>
      </c>
      <c r="H28" s="151">
        <f>IF(G$9=0,0,MAX((G28*(1+'Data Input 2'!$K$34)*H$9/G$9),0))</f>
        <v>9585979.7029919978</v>
      </c>
      <c r="I28" s="151">
        <f>IF(H$9=0,0,MAX((H28*(1+'Data Input 2'!$K$34)*I$9/H$9),0))</f>
        <v>9580502.0003045741</v>
      </c>
      <c r="J28" s="151">
        <f>IF(I$9=0,0,MAX((I28*(1+'Data Input 2'!$K$34)*J$9/I$9),0))</f>
        <v>9574175.2537006009</v>
      </c>
      <c r="K28" s="151">
        <f>IF(J$9=0,0,MAX((J28*(1+'Data Input 2'!$K$34)*K$9/J$9),0))</f>
        <v>9578089.9281618092</v>
      </c>
      <c r="L28" s="151">
        <f>IF(K$9=0,0,MAX((K28*(1+'Data Input 2'!$K$34)*L$9/K$9),0))</f>
        <v>9580968.8916084263</v>
      </c>
      <c r="M28" s="151">
        <f>IF(L$9=0,0,MAX((L28*(1+'Data Input 2'!$K$34)*M$9/L$9),0))</f>
        <v>9582832.4667932931</v>
      </c>
      <c r="N28" s="151">
        <f>IF(M$9=0,0,MAX((M28*(1+'Data Input 2'!$K$34)*N$9/M$9),0))</f>
        <v>9583700.6735853013</v>
      </c>
      <c r="O28" s="151">
        <f>IF(N$9=0,0,MAX((N28*(1+'Data Input 2'!$K$34)*O$9/N$9),0))</f>
        <v>9583593.2329947893</v>
      </c>
      <c r="P28" s="151">
        <f>IF(O$9=0,0,MAX((O28*(1+'Data Input 2'!$K$34)*P$9/O$9),0))</f>
        <v>9582529.5711487308</v>
      </c>
      <c r="Q28" s="151">
        <f>IF(P$9=0,0,MAX((P28*(1+'Data Input 2'!$K$34)*Q$9/P$9),0))</f>
        <v>9580528.823216293</v>
      </c>
      <c r="R28" s="151">
        <f>IF(Q$9=0,0,MAX((Q28*(1+'Data Input 2'!$K$34)*R$9/Q$9),0))</f>
        <v>9577609.8372853901</v>
      </c>
      <c r="S28" s="151">
        <f>IF(R$9=0,0,MAX((R28*(1+'Data Input 2'!$K$34)*S$9/R$9),0))</f>
        <v>9573791.1781907827</v>
      </c>
      <c r="T28" s="151">
        <f>IF(S$9=0,0,MAX((S28*(1+'Data Input 2'!$K$34)*T$9/S$9),0))</f>
        <v>9569091.1312943399</v>
      </c>
      <c r="U28" s="151">
        <f>IF(T$9=0,0,MAX((T28*(1+'Data Input 2'!$K$34)*U$9/T$9),0))</f>
        <v>9563527.7062180061</v>
      </c>
      <c r="V28" s="151">
        <f>IF(U$9=0,0,MAX((U28*(1+'Data Input 2'!$K$34)*V$9/U$9),0))</f>
        <v>9567032.6640160959</v>
      </c>
      <c r="W28" s="151">
        <f>IF(V$9=0,0,MAX((V28*(1+'Data Input 2'!$K$34)*W$9/V$9),0))</f>
        <v>9569511.1698876023</v>
      </c>
      <c r="X28" s="151">
        <f>IF(W$9=0,0,MAX((W28*(1+'Data Input 2'!$K$34)*X$9/W$9),0))</f>
        <v>9570983.402375279</v>
      </c>
    </row>
    <row r="29" spans="1:24" outlineLevel="1" x14ac:dyDescent="0.2">
      <c r="A29" s="159" t="s">
        <v>61</v>
      </c>
      <c r="B29" s="157"/>
      <c r="C29" s="160">
        <f>SUM(C24:C28)</f>
        <v>52800000</v>
      </c>
      <c r="D29" s="160">
        <f t="shared" ref="D29" si="6">SUM(D24:D28)</f>
        <v>52794720</v>
      </c>
      <c r="E29" s="160">
        <f t="shared" ref="E29" si="7">SUM(E24:E28)</f>
        <v>52784265.599999994</v>
      </c>
      <c r="F29" s="160">
        <f t="shared" ref="F29" si="8">SUM(F24:F28)</f>
        <v>52768740.816</v>
      </c>
      <c r="G29" s="160">
        <f t="shared" ref="G29" si="9">SUM(G24:G28)</f>
        <v>52748248.101119995</v>
      </c>
      <c r="H29" s="160">
        <f t="shared" ref="H29" si="10">SUM(H24:H28)</f>
        <v>52722888.366455995</v>
      </c>
      <c r="I29" s="160">
        <f t="shared" ref="I29" si="11">SUM(I24:I28)</f>
        <v>52692761.001675166</v>
      </c>
      <c r="J29" s="160">
        <f t="shared" ref="J29" si="12">SUM(J24:J28)</f>
        <v>52657963.895353302</v>
      </c>
      <c r="K29" s="160">
        <f t="shared" ref="K29" si="13">SUM(K24:K28)</f>
        <v>52679494.604889959</v>
      </c>
      <c r="L29" s="160">
        <f t="shared" ref="L29" si="14">SUM(L24:L28)</f>
        <v>52695328.903846338</v>
      </c>
      <c r="M29" s="160">
        <f t="shared" ref="M29" si="15">SUM(M24:M28)</f>
        <v>52705578.567363106</v>
      </c>
      <c r="N29" s="160">
        <f t="shared" ref="N29" si="16">SUM(N24:N28)</f>
        <v>52710353.704719149</v>
      </c>
      <c r="O29" s="160">
        <f t="shared" ref="O29:T29" si="17">SUM(O24:O28)</f>
        <v>52709762.781471334</v>
      </c>
      <c r="P29" s="160">
        <f t="shared" si="17"/>
        <v>52703912.641318008</v>
      </c>
      <c r="Q29" s="160">
        <f t="shared" si="17"/>
        <v>52692908.527689606</v>
      </c>
      <c r="R29" s="160">
        <f t="shared" si="17"/>
        <v>52676854.10506963</v>
      </c>
      <c r="S29" s="160">
        <f t="shared" si="17"/>
        <v>52655851.48004929</v>
      </c>
      <c r="T29" s="160">
        <f t="shared" si="17"/>
        <v>52630001.222118847</v>
      </c>
      <c r="U29" s="160">
        <f t="shared" ref="U29:W29" si="18">SUM(U24:U28)</f>
        <v>52599402.384199008</v>
      </c>
      <c r="V29" s="160">
        <f t="shared" si="18"/>
        <v>52618679.652088508</v>
      </c>
      <c r="W29" s="160">
        <f t="shared" si="18"/>
        <v>52632311.434381798</v>
      </c>
      <c r="X29" s="160">
        <f t="shared" ref="X29" si="19">SUM(X24:X28)</f>
        <v>52640408.713064015</v>
      </c>
    </row>
    <row r="30" spans="1:24" x14ac:dyDescent="0.2">
      <c r="A30" s="150"/>
      <c r="B30" s="161"/>
      <c r="D30" s="151"/>
      <c r="E30" s="151"/>
      <c r="F30" s="151"/>
      <c r="G30" s="151"/>
      <c r="H30" s="151"/>
      <c r="I30" s="151"/>
      <c r="J30" s="151"/>
      <c r="K30" s="151"/>
      <c r="L30" s="151"/>
      <c r="M30" s="151"/>
      <c r="N30" s="151"/>
      <c r="O30" s="151"/>
      <c r="P30" s="151"/>
      <c r="Q30" s="151"/>
      <c r="R30" s="151"/>
      <c r="S30" s="151"/>
      <c r="T30" s="151"/>
      <c r="U30" s="151"/>
      <c r="V30" s="151"/>
      <c r="W30" s="151"/>
      <c r="X30" s="151"/>
    </row>
    <row r="31" spans="1:24" x14ac:dyDescent="0.2">
      <c r="A31" s="145" t="s">
        <v>47</v>
      </c>
      <c r="B31" s="161"/>
      <c r="D31" s="151"/>
      <c r="E31" s="151"/>
      <c r="F31" s="151"/>
      <c r="G31" s="151"/>
      <c r="H31" s="151"/>
      <c r="I31" s="151"/>
      <c r="J31" s="151"/>
      <c r="K31" s="151"/>
      <c r="L31" s="151"/>
      <c r="M31" s="151"/>
      <c r="N31" s="151"/>
      <c r="O31" s="151"/>
      <c r="P31" s="151"/>
      <c r="Q31" s="151"/>
      <c r="R31" s="151"/>
      <c r="S31" s="151"/>
      <c r="T31" s="151"/>
      <c r="U31" s="151"/>
      <c r="V31" s="151"/>
      <c r="W31" s="151"/>
      <c r="X31" s="151"/>
    </row>
    <row r="32" spans="1:24" outlineLevel="1" x14ac:dyDescent="0.2">
      <c r="A32" s="150" t="str">
        <f>"Commercial Water Block 1 (" &amp;'Data Input 1'!J10 &amp;" to " &amp;'Data Input 1'!L10 &amp;" gal/month):"</f>
        <v>Commercial Water Block 1 (0 to 10000 gal/month):</v>
      </c>
      <c r="B32" s="157">
        <f>'Data Input 2'!D24</f>
        <v>1000000</v>
      </c>
      <c r="C32" s="158">
        <f t="shared" ref="C32:C43" si="20">B32*12</f>
        <v>12000000</v>
      </c>
      <c r="D32" s="151">
        <f>IF(C$11=0,0,MAX((C32*(1+'Data Input 2'!$K$37)*D$11/C$11),0))</f>
        <v>12000000</v>
      </c>
      <c r="E32" s="151">
        <f>IF(D$11=0,0,MAX((D32*(1+'Data Input 2'!$K$37)*E$11/D$11),0))</f>
        <v>12000000</v>
      </c>
      <c r="F32" s="151">
        <f>IF(E$11=0,0,MAX((E32*(1+'Data Input 2'!$K$37)*F$11/E$11),0))</f>
        <v>12000000</v>
      </c>
      <c r="G32" s="151">
        <f>IF(F$11=0,0,MAX((F32*(1+'Data Input 2'!$K$37)*G$11/F$11),0))</f>
        <v>12000000</v>
      </c>
      <c r="H32" s="151">
        <f>IF(G$11=0,0,MAX((G32*(1+'Data Input 2'!$K$37)*H$11/G$11),0))</f>
        <v>12000000</v>
      </c>
      <c r="I32" s="151">
        <f>IF(H$11=0,0,MAX((H32*(1+'Data Input 2'!$K$37)*I$11/H$11),0))</f>
        <v>12000000</v>
      </c>
      <c r="J32" s="151">
        <f>IF(I$11=0,0,MAX((I32*(1+'Data Input 2'!$K$37)*J$11/I$11),0))</f>
        <v>12000000</v>
      </c>
      <c r="K32" s="151">
        <f>IF(J$11=0,0,MAX((J32*(1+'Data Input 2'!$K$37)*K$11/J$11),0))</f>
        <v>12000000</v>
      </c>
      <c r="L32" s="151">
        <f>IF(K$11=0,0,MAX((K32*(1+'Data Input 2'!$K$37)*L$11/K$11),0))</f>
        <v>12000000</v>
      </c>
      <c r="M32" s="151">
        <f>IF(L$11=0,0,MAX((L32*(1+'Data Input 2'!$K$37)*M$11/L$11),0))</f>
        <v>12000000</v>
      </c>
      <c r="N32" s="151">
        <f>IF(M$11=0,0,MAX((M32*(1+'Data Input 2'!$K$37)*N$11/M$11),0))</f>
        <v>12000000</v>
      </c>
      <c r="O32" s="151">
        <f>IF(N$11=0,0,MAX((N32*(1+'Data Input 2'!$K$37)*O$11/N$11),0))</f>
        <v>12000000</v>
      </c>
      <c r="P32" s="151">
        <f>IF(O$11=0,0,MAX((O32*(1+'Data Input 2'!$K$37)*P$11/O$11),0))</f>
        <v>12000000</v>
      </c>
      <c r="Q32" s="151">
        <f>IF(P$11=0,0,MAX((P32*(1+'Data Input 2'!$K$37)*Q$11/P$11),0))</f>
        <v>12000000</v>
      </c>
      <c r="R32" s="151">
        <f>IF(Q$11=0,0,MAX((Q32*(1+'Data Input 2'!$K$37)*R$11/Q$11),0))</f>
        <v>12000000</v>
      </c>
      <c r="S32" s="151">
        <f>IF(R$11=0,0,MAX((R32*(1+'Data Input 2'!$K$37)*S$11/R$11),0))</f>
        <v>12000000</v>
      </c>
      <c r="T32" s="151">
        <f>IF(S$11=0,0,MAX((S32*(1+'Data Input 2'!$K$37)*T$11/S$11),0))</f>
        <v>12000000</v>
      </c>
      <c r="U32" s="151">
        <f>IF(T$11=0,0,MAX((T32*(1+'Data Input 2'!$K$37)*U$11/T$11),0))</f>
        <v>12000000</v>
      </c>
      <c r="V32" s="151">
        <f>IF(U$11=0,0,MAX((U32*(1+'Data Input 2'!$K$37)*V$11/U$11),0))</f>
        <v>12000000</v>
      </c>
      <c r="W32" s="151">
        <f>IF(V$11=0,0,MAX((V32*(1+'Data Input 2'!$K$37)*W$11/V$11),0))</f>
        <v>12000000</v>
      </c>
      <c r="X32" s="151">
        <f>IF(W$11=0,0,MAX((W32*(1+'Data Input 2'!$K$37)*X$11/W$11),0))</f>
        <v>12000000</v>
      </c>
    </row>
    <row r="33" spans="1:24" outlineLevel="1" x14ac:dyDescent="0.2">
      <c r="A33" s="150" t="str">
        <f>"Commercial Water Block 2 (" &amp;'Data Input 1'!J11 &amp;" to " &amp;'Data Input 1'!L11 &amp;" gal/month):"</f>
        <v>Commercial Water Block 2 (10001 to 15000 gal/month):</v>
      </c>
      <c r="B33" s="157">
        <f>'Data Input 2'!D25</f>
        <v>1439000</v>
      </c>
      <c r="C33" s="158">
        <f t="shared" si="20"/>
        <v>17268000</v>
      </c>
      <c r="D33" s="151">
        <f>IF(C$11=0,0,MAX((C33*(1+'Data Input 2'!$K$37)*D$11/C$11),0))</f>
        <v>17268000</v>
      </c>
      <c r="E33" s="151">
        <f>IF(D$11=0,0,MAX((D33*(1+'Data Input 2'!$K$37)*E$11/D$11),0))</f>
        <v>17268000</v>
      </c>
      <c r="F33" s="151">
        <f>IF(E$11=0,0,MAX((E33*(1+'Data Input 2'!$K$37)*F$11/E$11),0))</f>
        <v>17268000</v>
      </c>
      <c r="G33" s="151">
        <f>IF(F$11=0,0,MAX((F33*(1+'Data Input 2'!$K$37)*G$11/F$11),0))</f>
        <v>17268000</v>
      </c>
      <c r="H33" s="151">
        <f>IF(G$11=0,0,MAX((G33*(1+'Data Input 2'!$K$37)*H$11/G$11),0))</f>
        <v>17268000</v>
      </c>
      <c r="I33" s="151">
        <f>IF(H$11=0,0,MAX((H33*(1+'Data Input 2'!$K$37)*I$11/H$11),0))</f>
        <v>17268000</v>
      </c>
      <c r="J33" s="151">
        <f>IF(I$11=0,0,MAX((I33*(1+'Data Input 2'!$K$37)*J$11/I$11),0))</f>
        <v>17268000</v>
      </c>
      <c r="K33" s="151">
        <f>IF(J$11=0,0,MAX((J33*(1+'Data Input 2'!$K$37)*K$11/J$11),0))</f>
        <v>17268000</v>
      </c>
      <c r="L33" s="151">
        <f>IF(K$11=0,0,MAX((K33*(1+'Data Input 2'!$K$37)*L$11/K$11),0))</f>
        <v>17268000</v>
      </c>
      <c r="M33" s="151">
        <f>IF(L$11=0,0,MAX((L33*(1+'Data Input 2'!$K$37)*M$11/L$11),0))</f>
        <v>17268000</v>
      </c>
      <c r="N33" s="151">
        <f>IF(M$11=0,0,MAX((M33*(1+'Data Input 2'!$K$37)*N$11/M$11),0))</f>
        <v>17268000</v>
      </c>
      <c r="O33" s="151">
        <f>IF(N$11=0,0,MAX((N33*(1+'Data Input 2'!$K$37)*O$11/N$11),0))</f>
        <v>17268000</v>
      </c>
      <c r="P33" s="151">
        <f>IF(O$11=0,0,MAX((O33*(1+'Data Input 2'!$K$37)*P$11/O$11),0))</f>
        <v>17268000</v>
      </c>
      <c r="Q33" s="151">
        <f>IF(P$11=0,0,MAX((P33*(1+'Data Input 2'!$K$37)*Q$11/P$11),0))</f>
        <v>17268000</v>
      </c>
      <c r="R33" s="151">
        <f>IF(Q$11=0,0,MAX((Q33*(1+'Data Input 2'!$K$37)*R$11/Q$11),0))</f>
        <v>17268000</v>
      </c>
      <c r="S33" s="151">
        <f>IF(R$11=0,0,MAX((R33*(1+'Data Input 2'!$K$37)*S$11/R$11),0))</f>
        <v>17268000</v>
      </c>
      <c r="T33" s="151">
        <f>IF(S$11=0,0,MAX((S33*(1+'Data Input 2'!$K$37)*T$11/S$11),0))</f>
        <v>17268000</v>
      </c>
      <c r="U33" s="151">
        <f>IF(T$11=0,0,MAX((T33*(1+'Data Input 2'!$K$37)*U$11/T$11),0))</f>
        <v>17268000</v>
      </c>
      <c r="V33" s="151">
        <f>IF(U$11=0,0,MAX((U33*(1+'Data Input 2'!$K$37)*V$11/U$11),0))</f>
        <v>17268000</v>
      </c>
      <c r="W33" s="151">
        <f>IF(V$11=0,0,MAX((V33*(1+'Data Input 2'!$K$37)*W$11/V$11),0))</f>
        <v>17268000</v>
      </c>
      <c r="X33" s="151">
        <f>IF(W$11=0,0,MAX((W33*(1+'Data Input 2'!$K$37)*X$11/W$11),0))</f>
        <v>17268000</v>
      </c>
    </row>
    <row r="34" spans="1:24" outlineLevel="1" x14ac:dyDescent="0.2">
      <c r="A34" s="150" t="str">
        <f>"Commercial Water Block 3 (" &amp;'Data Input 1'!J12 &amp;" to " &amp;'Data Input 1'!L12 &amp;" gal/month):"</f>
        <v>Commercial Water Block 3 (15001 to 50000 gal/month):</v>
      </c>
      <c r="B34" s="157">
        <f>'Data Input 2'!D26</f>
        <v>2500000</v>
      </c>
      <c r="C34" s="158">
        <f t="shared" si="20"/>
        <v>30000000</v>
      </c>
      <c r="D34" s="151">
        <f>IF(C$11=0,0,MAX((C34*(1+'Data Input 2'!$K$37)*D$11/C$11),0))</f>
        <v>30000000</v>
      </c>
      <c r="E34" s="151">
        <f>IF(D$11=0,0,MAX((D34*(1+'Data Input 2'!$K$37)*E$11/D$11),0))</f>
        <v>30000000</v>
      </c>
      <c r="F34" s="151">
        <f>IF(E$11=0,0,MAX((E34*(1+'Data Input 2'!$K$37)*F$11/E$11),0))</f>
        <v>30000000</v>
      </c>
      <c r="G34" s="151">
        <f>IF(F$11=0,0,MAX((F34*(1+'Data Input 2'!$K$37)*G$11/F$11),0))</f>
        <v>30000000</v>
      </c>
      <c r="H34" s="151">
        <f>IF(G$11=0,0,MAX((G34*(1+'Data Input 2'!$K$37)*H$11/G$11),0))</f>
        <v>30000000</v>
      </c>
      <c r="I34" s="151">
        <f>IF(H$11=0,0,MAX((H34*(1+'Data Input 2'!$K$37)*I$11/H$11),0))</f>
        <v>30000000</v>
      </c>
      <c r="J34" s="151">
        <f>IF(I$11=0,0,MAX((I34*(1+'Data Input 2'!$K$37)*J$11/I$11),0))</f>
        <v>30000000</v>
      </c>
      <c r="K34" s="151">
        <f>IF(J$11=0,0,MAX((J34*(1+'Data Input 2'!$K$37)*K$11/J$11),0))</f>
        <v>30000000</v>
      </c>
      <c r="L34" s="151">
        <f>IF(K$11=0,0,MAX((K34*(1+'Data Input 2'!$K$37)*L$11/K$11),0))</f>
        <v>30000000</v>
      </c>
      <c r="M34" s="151">
        <f>IF(L$11=0,0,MAX((L34*(1+'Data Input 2'!$K$37)*M$11/L$11),0))</f>
        <v>30000000</v>
      </c>
      <c r="N34" s="151">
        <f>IF(M$11=0,0,MAX((M34*(1+'Data Input 2'!$K$37)*N$11/M$11),0))</f>
        <v>30000000</v>
      </c>
      <c r="O34" s="151">
        <f>IF(N$11=0,0,MAX((N34*(1+'Data Input 2'!$K$37)*O$11/N$11),0))</f>
        <v>30000000</v>
      </c>
      <c r="P34" s="151">
        <f>IF(O$11=0,0,MAX((O34*(1+'Data Input 2'!$K$37)*P$11/O$11),0))</f>
        <v>30000000</v>
      </c>
      <c r="Q34" s="151">
        <f>IF(P$11=0,0,MAX((P34*(1+'Data Input 2'!$K$37)*Q$11/P$11),0))</f>
        <v>30000000</v>
      </c>
      <c r="R34" s="151">
        <f>IF(Q$11=0,0,MAX((Q34*(1+'Data Input 2'!$K$37)*R$11/Q$11),0))</f>
        <v>30000000</v>
      </c>
      <c r="S34" s="151">
        <f>IF(R$11=0,0,MAX((R34*(1+'Data Input 2'!$K$37)*S$11/R$11),0))</f>
        <v>30000000</v>
      </c>
      <c r="T34" s="151">
        <f>IF(S$11=0,0,MAX((S34*(1+'Data Input 2'!$K$37)*T$11/S$11),0))</f>
        <v>30000000</v>
      </c>
      <c r="U34" s="151">
        <f>IF(T$11=0,0,MAX((T34*(1+'Data Input 2'!$K$37)*U$11/T$11),0))</f>
        <v>30000000</v>
      </c>
      <c r="V34" s="151">
        <f>IF(U$11=0,0,MAX((U34*(1+'Data Input 2'!$K$37)*V$11/U$11),0))</f>
        <v>30000000</v>
      </c>
      <c r="W34" s="151">
        <f>IF(V$11=0,0,MAX((V34*(1+'Data Input 2'!$K$37)*W$11/V$11),0))</f>
        <v>30000000</v>
      </c>
      <c r="X34" s="151">
        <f>IF(W$11=0,0,MAX((W34*(1+'Data Input 2'!$K$37)*X$11/W$11),0))</f>
        <v>30000000</v>
      </c>
    </row>
    <row r="35" spans="1:24" outlineLevel="1" x14ac:dyDescent="0.2">
      <c r="A35" s="150" t="str">
        <f>"Commercial Water Block 4 (" &amp;'Data Input 1'!J13 &amp;" to " &amp;'Data Input 1'!L13 &amp;" gal/month):"</f>
        <v>Commercial Water Block 4 (0 to  gal/month):</v>
      </c>
      <c r="B35" s="157">
        <f>'Data Input 2'!D27</f>
        <v>0</v>
      </c>
      <c r="C35" s="158">
        <f t="shared" si="20"/>
        <v>0</v>
      </c>
      <c r="D35" s="151">
        <f>IF(C$11=0,0,MAX((C35*(1+'Data Input 2'!$K$37)*D$11/C$11),0))</f>
        <v>0</v>
      </c>
      <c r="E35" s="151">
        <f>IF(D$11=0,0,MAX((D35*(1+'Data Input 2'!$K$37)*E$11/D$11),0))</f>
        <v>0</v>
      </c>
      <c r="F35" s="151">
        <f>IF(E$11=0,0,MAX((E35*(1+'Data Input 2'!$K$37)*F$11/E$11),0))</f>
        <v>0</v>
      </c>
      <c r="G35" s="151">
        <f>IF(F$11=0,0,MAX((F35*(1+'Data Input 2'!$K$37)*G$11/F$11),0))</f>
        <v>0</v>
      </c>
      <c r="H35" s="151">
        <f>IF(G$11=0,0,MAX((G35*(1+'Data Input 2'!$K$37)*H$11/G$11),0))</f>
        <v>0</v>
      </c>
      <c r="I35" s="151">
        <f>IF(H$11=0,0,MAX((H35*(1+'Data Input 2'!$K$37)*I$11/H$11),0))</f>
        <v>0</v>
      </c>
      <c r="J35" s="151">
        <f>IF(I$11=0,0,MAX((I35*(1+'Data Input 2'!$K$37)*J$11/I$11),0))</f>
        <v>0</v>
      </c>
      <c r="K35" s="151">
        <f>IF(J$11=0,0,MAX((J35*(1+'Data Input 2'!$K$37)*K$11/J$11),0))</f>
        <v>0</v>
      </c>
      <c r="L35" s="151">
        <f>IF(K$11=0,0,MAX((K35*(1+'Data Input 2'!$K$37)*L$11/K$11),0))</f>
        <v>0</v>
      </c>
      <c r="M35" s="151">
        <f>IF(L$11=0,0,MAX((L35*(1+'Data Input 2'!$K$37)*M$11/L$11),0))</f>
        <v>0</v>
      </c>
      <c r="N35" s="151">
        <f>IF(M$11=0,0,MAX((M35*(1+'Data Input 2'!$K$37)*N$11/M$11),0))</f>
        <v>0</v>
      </c>
      <c r="O35" s="151">
        <f>IF(N$11=0,0,MAX((N35*(1+'Data Input 2'!$K$37)*O$11/N$11),0))</f>
        <v>0</v>
      </c>
      <c r="P35" s="151">
        <f>IF(O$11=0,0,MAX((O35*(1+'Data Input 2'!$K$37)*P$11/O$11),0))</f>
        <v>0</v>
      </c>
      <c r="Q35" s="151">
        <f>IF(P$11=0,0,MAX((P35*(1+'Data Input 2'!$K$37)*Q$11/P$11),0))</f>
        <v>0</v>
      </c>
      <c r="R35" s="151">
        <f>IF(Q$11=0,0,MAX((Q35*(1+'Data Input 2'!$K$37)*R$11/Q$11),0))</f>
        <v>0</v>
      </c>
      <c r="S35" s="151">
        <f>IF(R$11=0,0,MAX((R35*(1+'Data Input 2'!$K$37)*S$11/R$11),0))</f>
        <v>0</v>
      </c>
      <c r="T35" s="151">
        <f>IF(S$11=0,0,MAX((S35*(1+'Data Input 2'!$K$37)*T$11/S$11),0))</f>
        <v>0</v>
      </c>
      <c r="U35" s="151">
        <f>IF(T$11=0,0,MAX((T35*(1+'Data Input 2'!$K$37)*U$11/T$11),0))</f>
        <v>0</v>
      </c>
      <c r="V35" s="151">
        <f>IF(U$11=0,0,MAX((U35*(1+'Data Input 2'!$K$37)*V$11/U$11),0))</f>
        <v>0</v>
      </c>
      <c r="W35" s="151">
        <f>IF(V$11=0,0,MAX((V35*(1+'Data Input 2'!$K$37)*W$11/V$11),0))</f>
        <v>0</v>
      </c>
      <c r="X35" s="151">
        <f>IF(W$11=0,0,MAX((W35*(1+'Data Input 2'!$K$37)*X$11/W$11),0))</f>
        <v>0</v>
      </c>
    </row>
    <row r="36" spans="1:24" outlineLevel="1" x14ac:dyDescent="0.2">
      <c r="A36" s="150" t="str">
        <f>"Commercial Water Block 5 (" &amp;'Data Input 1'!J14 &amp;" and above):"</f>
        <v>Commercial Water Block 5 (50001 and above):</v>
      </c>
      <c r="B36" s="157">
        <f>'Data Input 2'!D28</f>
        <v>1000000</v>
      </c>
      <c r="C36" s="158">
        <f t="shared" si="20"/>
        <v>12000000</v>
      </c>
      <c r="D36" s="151">
        <f>IF(C$11=0,0,MAX((C36*(1+'Data Input 2'!$K$37)*D$11/C$11),0))</f>
        <v>12000000</v>
      </c>
      <c r="E36" s="151">
        <f>IF(D$11=0,0,MAX((D36*(1+'Data Input 2'!$K$37)*E$11/D$11),0))</f>
        <v>12000000</v>
      </c>
      <c r="F36" s="151">
        <f>IF(E$11=0,0,MAX((E36*(1+'Data Input 2'!$K$37)*F$11/E$11),0))</f>
        <v>12000000</v>
      </c>
      <c r="G36" s="151">
        <f>IF(F$11=0,0,MAX((F36*(1+'Data Input 2'!$K$37)*G$11/F$11),0))</f>
        <v>12000000</v>
      </c>
      <c r="H36" s="151">
        <f>IF(G$11=0,0,MAX((G36*(1+'Data Input 2'!$K$37)*H$11/G$11),0))</f>
        <v>12000000</v>
      </c>
      <c r="I36" s="151">
        <f>IF(H$11=0,0,MAX((H36*(1+'Data Input 2'!$K$37)*I$11/H$11),0))</f>
        <v>12000000</v>
      </c>
      <c r="J36" s="151">
        <f>IF(I$11=0,0,MAX((I36*(1+'Data Input 2'!$K$37)*J$11/I$11),0))</f>
        <v>12000000</v>
      </c>
      <c r="K36" s="151">
        <f>IF(J$11=0,0,MAX((J36*(1+'Data Input 2'!$K$37)*K$11/J$11),0))</f>
        <v>12000000</v>
      </c>
      <c r="L36" s="151">
        <f>IF(K$11=0,0,MAX((K36*(1+'Data Input 2'!$K$37)*L$11/K$11),0))</f>
        <v>12000000</v>
      </c>
      <c r="M36" s="151">
        <f>IF(L$11=0,0,MAX((L36*(1+'Data Input 2'!$K$37)*M$11/L$11),0))</f>
        <v>12000000</v>
      </c>
      <c r="N36" s="151">
        <f>IF(M$11=0,0,MAX((M36*(1+'Data Input 2'!$K$37)*N$11/M$11),0))</f>
        <v>12000000</v>
      </c>
      <c r="O36" s="151">
        <f>IF(N$11=0,0,MAX((N36*(1+'Data Input 2'!$K$37)*O$11/N$11),0))</f>
        <v>12000000</v>
      </c>
      <c r="P36" s="151">
        <f>IF(O$11=0,0,MAX((O36*(1+'Data Input 2'!$K$37)*P$11/O$11),0))</f>
        <v>12000000</v>
      </c>
      <c r="Q36" s="151">
        <f>IF(P$11=0,0,MAX((P36*(1+'Data Input 2'!$K$37)*Q$11/P$11),0))</f>
        <v>12000000</v>
      </c>
      <c r="R36" s="151">
        <f>IF(Q$11=0,0,MAX((Q36*(1+'Data Input 2'!$K$37)*R$11/Q$11),0))</f>
        <v>12000000</v>
      </c>
      <c r="S36" s="151">
        <f>IF(R$11=0,0,MAX((R36*(1+'Data Input 2'!$K$37)*S$11/R$11),0))</f>
        <v>12000000</v>
      </c>
      <c r="T36" s="151">
        <f>IF(S$11=0,0,MAX((S36*(1+'Data Input 2'!$K$37)*T$11/S$11),0))</f>
        <v>12000000</v>
      </c>
      <c r="U36" s="151">
        <f>IF(T$11=0,0,MAX((T36*(1+'Data Input 2'!$K$37)*U$11/T$11),0))</f>
        <v>12000000</v>
      </c>
      <c r="V36" s="151">
        <f>IF(U$11=0,0,MAX((U36*(1+'Data Input 2'!$K$37)*V$11/U$11),0))</f>
        <v>12000000</v>
      </c>
      <c r="W36" s="151">
        <f>IF(V$11=0,0,MAX((V36*(1+'Data Input 2'!$K$37)*W$11/V$11),0))</f>
        <v>12000000</v>
      </c>
      <c r="X36" s="151">
        <f>IF(W$11=0,0,MAX((W36*(1+'Data Input 2'!$K$37)*X$11/W$11),0))</f>
        <v>12000000</v>
      </c>
    </row>
    <row r="37" spans="1:24" outlineLevel="1" x14ac:dyDescent="0.2">
      <c r="A37" s="159" t="s">
        <v>62</v>
      </c>
      <c r="B37" s="157"/>
      <c r="C37" s="160">
        <f>SUM(C32:C36)</f>
        <v>71268000</v>
      </c>
      <c r="D37" s="160">
        <f t="shared" ref="D37" si="21">SUM(D32:D36)</f>
        <v>71268000</v>
      </c>
      <c r="E37" s="160">
        <f t="shared" ref="E37" si="22">SUM(E32:E36)</f>
        <v>71268000</v>
      </c>
      <c r="F37" s="160">
        <f t="shared" ref="F37" si="23">SUM(F32:F36)</f>
        <v>71268000</v>
      </c>
      <c r="G37" s="160">
        <f t="shared" ref="G37" si="24">SUM(G32:G36)</f>
        <v>71268000</v>
      </c>
      <c r="H37" s="160">
        <f t="shared" ref="H37" si="25">SUM(H32:H36)</f>
        <v>71268000</v>
      </c>
      <c r="I37" s="160">
        <f t="shared" ref="I37" si="26">SUM(I32:I36)</f>
        <v>71268000</v>
      </c>
      <c r="J37" s="160">
        <f t="shared" ref="J37" si="27">SUM(J32:J36)</f>
        <v>71268000</v>
      </c>
      <c r="K37" s="160">
        <f t="shared" ref="K37" si="28">SUM(K32:K36)</f>
        <v>71268000</v>
      </c>
      <c r="L37" s="160">
        <f t="shared" ref="L37" si="29">SUM(L32:L36)</f>
        <v>71268000</v>
      </c>
      <c r="M37" s="160">
        <f t="shared" ref="M37" si="30">SUM(M32:M36)</f>
        <v>71268000</v>
      </c>
      <c r="N37" s="160">
        <f t="shared" ref="N37" si="31">SUM(N32:N36)</f>
        <v>71268000</v>
      </c>
      <c r="O37" s="160">
        <f t="shared" ref="O37:T37" si="32">SUM(O32:O36)</f>
        <v>71268000</v>
      </c>
      <c r="P37" s="160">
        <f t="shared" si="32"/>
        <v>71268000</v>
      </c>
      <c r="Q37" s="160">
        <f t="shared" si="32"/>
        <v>71268000</v>
      </c>
      <c r="R37" s="160">
        <f t="shared" si="32"/>
        <v>71268000</v>
      </c>
      <c r="S37" s="160">
        <f t="shared" si="32"/>
        <v>71268000</v>
      </c>
      <c r="T37" s="160">
        <f t="shared" si="32"/>
        <v>71268000</v>
      </c>
      <c r="U37" s="160">
        <f t="shared" ref="U37:W37" si="33">SUM(U32:U36)</f>
        <v>71268000</v>
      </c>
      <c r="V37" s="160">
        <f t="shared" si="33"/>
        <v>71268000</v>
      </c>
      <c r="W37" s="160">
        <f t="shared" si="33"/>
        <v>71268000</v>
      </c>
      <c r="X37" s="160">
        <f t="shared" ref="X37" si="34">SUM(X32:X36)</f>
        <v>71268000</v>
      </c>
    </row>
    <row r="38" spans="1:24" outlineLevel="1" x14ac:dyDescent="0.2">
      <c r="A38" s="150"/>
      <c r="B38" s="161"/>
      <c r="D38" s="151"/>
      <c r="E38" s="151"/>
      <c r="F38" s="151"/>
      <c r="G38" s="151"/>
      <c r="H38" s="151"/>
      <c r="I38" s="151"/>
      <c r="J38" s="151"/>
      <c r="K38" s="151"/>
      <c r="L38" s="151"/>
      <c r="M38" s="151"/>
      <c r="N38" s="151"/>
      <c r="O38" s="151"/>
      <c r="P38" s="151"/>
      <c r="Q38" s="151"/>
      <c r="R38" s="151"/>
      <c r="S38" s="151"/>
      <c r="T38" s="151"/>
      <c r="U38" s="151"/>
      <c r="V38" s="151"/>
      <c r="W38" s="151"/>
      <c r="X38" s="151"/>
    </row>
    <row r="39" spans="1:24" outlineLevel="1" x14ac:dyDescent="0.2">
      <c r="A39" s="150" t="str">
        <f>"Commercial Sewer Block 1 (" &amp;'Data Input 1'!J18 &amp;" to " &amp;'Data Input 1'!L18 &amp;" gal/month):"</f>
        <v>Commercial Sewer Block 1 (0 to 10000 gal/month):</v>
      </c>
      <c r="B39" s="157">
        <f>'Data Input 2'!D30</f>
        <v>400000</v>
      </c>
      <c r="C39" s="158">
        <f t="shared" si="20"/>
        <v>4800000</v>
      </c>
      <c r="D39" s="151">
        <f>IF(C$12=0,0,MAX((C39*(1+'Data Input 2'!$K$37)*D$12/C$12),0))</f>
        <v>4800000</v>
      </c>
      <c r="E39" s="151">
        <f>IF(D$12=0,0,MAX((D39*(1+'Data Input 2'!$K$37)*E$12/D$12),0))</f>
        <v>4800000</v>
      </c>
      <c r="F39" s="151">
        <f>IF(E$12=0,0,MAX((E39*(1+'Data Input 2'!$K$37)*F$12/E$12),0))</f>
        <v>4800000</v>
      </c>
      <c r="G39" s="151">
        <f>IF(F$12=0,0,MAX((F39*(1+'Data Input 2'!$K$37)*G$12/F$12),0))</f>
        <v>4800000</v>
      </c>
      <c r="H39" s="151">
        <f>IF(G$12=0,0,MAX((G39*(1+'Data Input 2'!$K$37)*H$12/G$12),0))</f>
        <v>4800000</v>
      </c>
      <c r="I39" s="151">
        <f>IF(H$12=0,0,MAX((H39*(1+'Data Input 2'!$K$37)*I$12/H$12),0))</f>
        <v>4800000</v>
      </c>
      <c r="J39" s="151">
        <f>IF(I$12=0,0,MAX((I39*(1+'Data Input 2'!$K$37)*J$12/I$12),0))</f>
        <v>4800000</v>
      </c>
      <c r="K39" s="151">
        <f>IF(J$12=0,0,MAX((J39*(1+'Data Input 2'!$K$37)*K$12/J$12),0))</f>
        <v>4800000</v>
      </c>
      <c r="L39" s="151">
        <f>IF(K$12=0,0,MAX((K39*(1+'Data Input 2'!$K$37)*L$12/K$12),0))</f>
        <v>4800000</v>
      </c>
      <c r="M39" s="151">
        <f>IF(L$12=0,0,MAX((L39*(1+'Data Input 2'!$K$37)*M$12/L$12),0))</f>
        <v>4800000</v>
      </c>
      <c r="N39" s="151">
        <f>IF(M$12=0,0,MAX((M39*(1+'Data Input 2'!$K$37)*N$12/M$12),0))</f>
        <v>4800000</v>
      </c>
      <c r="O39" s="151">
        <f>IF(N$12=0,0,MAX((N39*(1+'Data Input 2'!$K$37)*O$12/N$12),0))</f>
        <v>4800000</v>
      </c>
      <c r="P39" s="151">
        <f>IF(O$12=0,0,MAX((O39*(1+'Data Input 2'!$K$37)*P$12/O$12),0))</f>
        <v>4800000</v>
      </c>
      <c r="Q39" s="151">
        <f>IF(P$12=0,0,MAX((P39*(1+'Data Input 2'!$K$37)*Q$12/P$12),0))</f>
        <v>4800000</v>
      </c>
      <c r="R39" s="151">
        <f>IF(Q$12=0,0,MAX((Q39*(1+'Data Input 2'!$K$37)*R$12/Q$12),0))</f>
        <v>4800000</v>
      </c>
      <c r="S39" s="151">
        <f>IF(R$12=0,0,MAX((R39*(1+'Data Input 2'!$K$37)*S$12/R$12),0))</f>
        <v>4800000</v>
      </c>
      <c r="T39" s="151">
        <f>IF(S$12=0,0,MAX((S39*(1+'Data Input 2'!$K$37)*T$12/S$12),0))</f>
        <v>4800000</v>
      </c>
      <c r="U39" s="151">
        <f>IF(T$12=0,0,MAX((T39*(1+'Data Input 2'!$K$37)*U$12/T$12),0))</f>
        <v>4800000</v>
      </c>
      <c r="V39" s="151">
        <f>IF(U$12=0,0,MAX((U39*(1+'Data Input 2'!$K$37)*V$12/U$12),0))</f>
        <v>4800000</v>
      </c>
      <c r="W39" s="151">
        <f>IF(V$12=0,0,MAX((V39*(1+'Data Input 2'!$K$37)*W$12/V$12),0))</f>
        <v>4800000</v>
      </c>
      <c r="X39" s="151">
        <f>IF(W$12=0,0,MAX((W39*(1+'Data Input 2'!$K$37)*X$12/W$12),0))</f>
        <v>4800000</v>
      </c>
    </row>
    <row r="40" spans="1:24" outlineLevel="1" x14ac:dyDescent="0.2">
      <c r="A40" s="150" t="str">
        <f>"Commercial Sewer Block 2 (" &amp;'Data Input 1'!J19 &amp;" to " &amp;'Data Input 1'!L19 &amp;" gal/month):"</f>
        <v>Commercial Sewer Block 2 (10001 to 15000 gal/month):</v>
      </c>
      <c r="B40" s="157">
        <f>'Data Input 2'!D31</f>
        <v>575600</v>
      </c>
      <c r="C40" s="158">
        <f t="shared" si="20"/>
        <v>6907200</v>
      </c>
      <c r="D40" s="151">
        <f>IF(C$12=0,0,MAX((C40*(1+'Data Input 2'!$K$37)*D$12/C$12),0))</f>
        <v>6907200</v>
      </c>
      <c r="E40" s="151">
        <f>IF(D$12=0,0,MAX((D40*(1+'Data Input 2'!$K$37)*E$12/D$12),0))</f>
        <v>6907200</v>
      </c>
      <c r="F40" s="151">
        <f>IF(E$12=0,0,MAX((E40*(1+'Data Input 2'!$K$37)*F$12/E$12),0))</f>
        <v>6907200</v>
      </c>
      <c r="G40" s="151">
        <f>IF(F$12=0,0,MAX((F40*(1+'Data Input 2'!$K$37)*G$12/F$12),0))</f>
        <v>6907200</v>
      </c>
      <c r="H40" s="151">
        <f>IF(G$12=0,0,MAX((G40*(1+'Data Input 2'!$K$37)*H$12/G$12),0))</f>
        <v>6907200</v>
      </c>
      <c r="I40" s="151">
        <f>IF(H$12=0,0,MAX((H40*(1+'Data Input 2'!$K$37)*I$12/H$12),0))</f>
        <v>6907200</v>
      </c>
      <c r="J40" s="151">
        <f>IF(I$12=0,0,MAX((I40*(1+'Data Input 2'!$K$37)*J$12/I$12),0))</f>
        <v>6907200</v>
      </c>
      <c r="K40" s="151">
        <f>IF(J$12=0,0,MAX((J40*(1+'Data Input 2'!$K$37)*K$12/J$12),0))</f>
        <v>6907200</v>
      </c>
      <c r="L40" s="151">
        <f>IF(K$12=0,0,MAX((K40*(1+'Data Input 2'!$K$37)*L$12/K$12),0))</f>
        <v>6907200</v>
      </c>
      <c r="M40" s="151">
        <f>IF(L$12=0,0,MAX((L40*(1+'Data Input 2'!$K$37)*M$12/L$12),0))</f>
        <v>6907200</v>
      </c>
      <c r="N40" s="151">
        <f>IF(M$12=0,0,MAX((M40*(1+'Data Input 2'!$K$37)*N$12/M$12),0))</f>
        <v>6907200</v>
      </c>
      <c r="O40" s="151">
        <f>IF(N$12=0,0,MAX((N40*(1+'Data Input 2'!$K$37)*O$12/N$12),0))</f>
        <v>6907200</v>
      </c>
      <c r="P40" s="151">
        <f>IF(O$12=0,0,MAX((O40*(1+'Data Input 2'!$K$37)*P$12/O$12),0))</f>
        <v>6907200</v>
      </c>
      <c r="Q40" s="151">
        <f>IF(P$12=0,0,MAX((P40*(1+'Data Input 2'!$K$37)*Q$12/P$12),0))</f>
        <v>6907200</v>
      </c>
      <c r="R40" s="151">
        <f>IF(Q$12=0,0,MAX((Q40*(1+'Data Input 2'!$K$37)*R$12/Q$12),0))</f>
        <v>6907200</v>
      </c>
      <c r="S40" s="151">
        <f>IF(R$12=0,0,MAX((R40*(1+'Data Input 2'!$K$37)*S$12/R$12),0))</f>
        <v>6907200</v>
      </c>
      <c r="T40" s="151">
        <f>IF(S$12=0,0,MAX((S40*(1+'Data Input 2'!$K$37)*T$12/S$12),0))</f>
        <v>6907200</v>
      </c>
      <c r="U40" s="151">
        <f>IF(T$12=0,0,MAX((T40*(1+'Data Input 2'!$K$37)*U$12/T$12),0))</f>
        <v>6907200</v>
      </c>
      <c r="V40" s="151">
        <f>IF(U$12=0,0,MAX((U40*(1+'Data Input 2'!$K$37)*V$12/U$12),0))</f>
        <v>6907200</v>
      </c>
      <c r="W40" s="151">
        <f>IF(V$12=0,0,MAX((V40*(1+'Data Input 2'!$K$37)*W$12/V$12),0))</f>
        <v>6907200</v>
      </c>
      <c r="X40" s="151">
        <f>IF(W$12=0,0,MAX((W40*(1+'Data Input 2'!$K$37)*X$12/W$12),0))</f>
        <v>6907200</v>
      </c>
    </row>
    <row r="41" spans="1:24" outlineLevel="1" x14ac:dyDescent="0.2">
      <c r="A41" s="150" t="str">
        <f>"Commercial Sewer Block 3 (" &amp;'Data Input 1'!J20 &amp;" to " &amp;'Data Input 1'!L20 &amp;" gal/month):"</f>
        <v>Commercial Sewer Block 3 (15001 to 50000 gal/month):</v>
      </c>
      <c r="B41" s="157">
        <f>'Data Input 2'!D32</f>
        <v>1000000</v>
      </c>
      <c r="C41" s="158">
        <f t="shared" si="20"/>
        <v>12000000</v>
      </c>
      <c r="D41" s="151">
        <f>IF(C$12=0,0,MAX((C41*(1+'Data Input 2'!$K$37)*D$12/C$12),0))</f>
        <v>12000000</v>
      </c>
      <c r="E41" s="151">
        <f>IF(D$12=0,0,MAX((D41*(1+'Data Input 2'!$K$37)*E$12/D$12),0))</f>
        <v>12000000</v>
      </c>
      <c r="F41" s="151">
        <f>IF(E$12=0,0,MAX((E41*(1+'Data Input 2'!$K$37)*F$12/E$12),0))</f>
        <v>12000000</v>
      </c>
      <c r="G41" s="151">
        <f>IF(F$12=0,0,MAX((F41*(1+'Data Input 2'!$K$37)*G$12/F$12),0))</f>
        <v>12000000</v>
      </c>
      <c r="H41" s="151">
        <f>IF(G$12=0,0,MAX((G41*(1+'Data Input 2'!$K$37)*H$12/G$12),0))</f>
        <v>12000000</v>
      </c>
      <c r="I41" s="151">
        <f>IF(H$12=0,0,MAX((H41*(1+'Data Input 2'!$K$37)*I$12/H$12),0))</f>
        <v>12000000</v>
      </c>
      <c r="J41" s="151">
        <f>IF(I$12=0,0,MAX((I41*(1+'Data Input 2'!$K$37)*J$12/I$12),0))</f>
        <v>12000000</v>
      </c>
      <c r="K41" s="151">
        <f>IF(J$12=0,0,MAX((J41*(1+'Data Input 2'!$K$37)*K$12/J$12),0))</f>
        <v>12000000</v>
      </c>
      <c r="L41" s="151">
        <f>IF(K$12=0,0,MAX((K41*(1+'Data Input 2'!$K$37)*L$12/K$12),0))</f>
        <v>12000000</v>
      </c>
      <c r="M41" s="151">
        <f>IF(L$12=0,0,MAX((L41*(1+'Data Input 2'!$K$37)*M$12/L$12),0))</f>
        <v>12000000</v>
      </c>
      <c r="N41" s="151">
        <f>IF(M$12=0,0,MAX((M41*(1+'Data Input 2'!$K$37)*N$12/M$12),0))</f>
        <v>12000000</v>
      </c>
      <c r="O41" s="151">
        <f>IF(N$12=0,0,MAX((N41*(1+'Data Input 2'!$K$37)*O$12/N$12),0))</f>
        <v>12000000</v>
      </c>
      <c r="P41" s="151">
        <f>IF(O$12=0,0,MAX((O41*(1+'Data Input 2'!$K$37)*P$12/O$12),0))</f>
        <v>12000000</v>
      </c>
      <c r="Q41" s="151">
        <f>IF(P$12=0,0,MAX((P41*(1+'Data Input 2'!$K$37)*Q$12/P$12),0))</f>
        <v>12000000</v>
      </c>
      <c r="R41" s="151">
        <f>IF(Q$12=0,0,MAX((Q41*(1+'Data Input 2'!$K$37)*R$12/Q$12),0))</f>
        <v>12000000</v>
      </c>
      <c r="S41" s="151">
        <f>IF(R$12=0,0,MAX((R41*(1+'Data Input 2'!$K$37)*S$12/R$12),0))</f>
        <v>12000000</v>
      </c>
      <c r="T41" s="151">
        <f>IF(S$12=0,0,MAX((S41*(1+'Data Input 2'!$K$37)*T$12/S$12),0))</f>
        <v>12000000</v>
      </c>
      <c r="U41" s="151">
        <f>IF(T$12=0,0,MAX((T41*(1+'Data Input 2'!$K$37)*U$12/T$12),0))</f>
        <v>12000000</v>
      </c>
      <c r="V41" s="151">
        <f>IF(U$12=0,0,MAX((U41*(1+'Data Input 2'!$K$37)*V$12/U$12),0))</f>
        <v>12000000</v>
      </c>
      <c r="W41" s="151">
        <f>IF(V$12=0,0,MAX((V41*(1+'Data Input 2'!$K$37)*W$12/V$12),0))</f>
        <v>12000000</v>
      </c>
      <c r="X41" s="151">
        <f>IF(W$12=0,0,MAX((W41*(1+'Data Input 2'!$K$37)*X$12/W$12),0))</f>
        <v>12000000</v>
      </c>
    </row>
    <row r="42" spans="1:24" outlineLevel="1" x14ac:dyDescent="0.2">
      <c r="A42" s="150" t="str">
        <f>"Commercial Sewer Block 4 (" &amp;'Data Input 1'!J21 &amp;" to " &amp;'Data Input 1'!L21 &amp;" gal/month):"</f>
        <v>Commercial Sewer Block 4 (0 to  gal/month):</v>
      </c>
      <c r="B42" s="157">
        <f>'Data Input 2'!D33</f>
        <v>0</v>
      </c>
      <c r="C42" s="158">
        <f t="shared" si="20"/>
        <v>0</v>
      </c>
      <c r="D42" s="151">
        <f>IF(C$12=0,0,MAX((C42*(1+'Data Input 2'!$K$37)*D$12/C$12),0))</f>
        <v>0</v>
      </c>
      <c r="E42" s="151">
        <f>IF(D$12=0,0,MAX((D42*(1+'Data Input 2'!$K$37)*E$12/D$12),0))</f>
        <v>0</v>
      </c>
      <c r="F42" s="151">
        <f>IF(E$12=0,0,MAX((E42*(1+'Data Input 2'!$K$37)*F$12/E$12),0))</f>
        <v>0</v>
      </c>
      <c r="G42" s="151">
        <f>IF(F$12=0,0,MAX((F42*(1+'Data Input 2'!$K$37)*G$12/F$12),0))</f>
        <v>0</v>
      </c>
      <c r="H42" s="151">
        <f>IF(G$12=0,0,MAX((G42*(1+'Data Input 2'!$K$37)*H$12/G$12),0))</f>
        <v>0</v>
      </c>
      <c r="I42" s="151">
        <f>IF(H$12=0,0,MAX((H42*(1+'Data Input 2'!$K$37)*I$12/H$12),0))</f>
        <v>0</v>
      </c>
      <c r="J42" s="151">
        <f>IF(I$12=0,0,MAX((I42*(1+'Data Input 2'!$K$37)*J$12/I$12),0))</f>
        <v>0</v>
      </c>
      <c r="K42" s="151">
        <f>IF(J$12=0,0,MAX((J42*(1+'Data Input 2'!$K$37)*K$12/J$12),0))</f>
        <v>0</v>
      </c>
      <c r="L42" s="151">
        <f>IF(K$12=0,0,MAX((K42*(1+'Data Input 2'!$K$37)*L$12/K$12),0))</f>
        <v>0</v>
      </c>
      <c r="M42" s="151">
        <f>IF(L$12=0,0,MAX((L42*(1+'Data Input 2'!$K$37)*M$12/L$12),0))</f>
        <v>0</v>
      </c>
      <c r="N42" s="151">
        <f>IF(M$12=0,0,MAX((M42*(1+'Data Input 2'!$K$37)*N$12/M$12),0))</f>
        <v>0</v>
      </c>
      <c r="O42" s="151">
        <f>IF(N$12=0,0,MAX((N42*(1+'Data Input 2'!$K$37)*O$12/N$12),0))</f>
        <v>0</v>
      </c>
      <c r="P42" s="151">
        <f>IF(O$12=0,0,MAX((O42*(1+'Data Input 2'!$K$37)*P$12/O$12),0))</f>
        <v>0</v>
      </c>
      <c r="Q42" s="151">
        <f>IF(P$12=0,0,MAX((P42*(1+'Data Input 2'!$K$37)*Q$12/P$12),0))</f>
        <v>0</v>
      </c>
      <c r="R42" s="151">
        <f>IF(Q$12=0,0,MAX((Q42*(1+'Data Input 2'!$K$37)*R$12/Q$12),0))</f>
        <v>0</v>
      </c>
      <c r="S42" s="151">
        <f>IF(R$12=0,0,MAX((R42*(1+'Data Input 2'!$K$37)*S$12/R$12),0))</f>
        <v>0</v>
      </c>
      <c r="T42" s="151">
        <f>IF(S$12=0,0,MAX((S42*(1+'Data Input 2'!$K$37)*T$12/S$12),0))</f>
        <v>0</v>
      </c>
      <c r="U42" s="151">
        <f>IF(T$12=0,0,MAX((T42*(1+'Data Input 2'!$K$37)*U$12/T$12),0))</f>
        <v>0</v>
      </c>
      <c r="V42" s="151">
        <f>IF(U$12=0,0,MAX((U42*(1+'Data Input 2'!$K$37)*V$12/U$12),0))</f>
        <v>0</v>
      </c>
      <c r="W42" s="151">
        <f>IF(V$12=0,0,MAX((V42*(1+'Data Input 2'!$K$37)*W$12/V$12),0))</f>
        <v>0</v>
      </c>
      <c r="X42" s="151">
        <f>IF(W$12=0,0,MAX((W42*(1+'Data Input 2'!$K$37)*X$12/W$12),0))</f>
        <v>0</v>
      </c>
    </row>
    <row r="43" spans="1:24" outlineLevel="1" x14ac:dyDescent="0.2">
      <c r="A43" s="150" t="str">
        <f>"Commercial Sewer Block 5 (" &amp;'Data Input 1'!J22 &amp;" and above):"</f>
        <v>Commercial Sewer Block 5 (50001 and above):</v>
      </c>
      <c r="B43" s="157">
        <f>'Data Input 2'!D34</f>
        <v>400000</v>
      </c>
      <c r="C43" s="158">
        <f t="shared" si="20"/>
        <v>4800000</v>
      </c>
      <c r="D43" s="151">
        <f>IF(C$12=0,0,MAX((C43*(1+'Data Input 2'!$K$37)*D$12/C$12),0))</f>
        <v>4800000</v>
      </c>
      <c r="E43" s="151">
        <f>IF(D$12=0,0,MAX((D43*(1+'Data Input 2'!$K$37)*E$12/D$12),0))</f>
        <v>4800000</v>
      </c>
      <c r="F43" s="151">
        <f>IF(E$12=0,0,MAX((E43*(1+'Data Input 2'!$K$37)*F$12/E$12),0))</f>
        <v>4800000</v>
      </c>
      <c r="G43" s="151">
        <f>IF(F$12=0,0,MAX((F43*(1+'Data Input 2'!$K$37)*G$12/F$12),0))</f>
        <v>4800000</v>
      </c>
      <c r="H43" s="151">
        <f>IF(G$12=0,0,MAX((G43*(1+'Data Input 2'!$K$37)*H$12/G$12),0))</f>
        <v>4800000</v>
      </c>
      <c r="I43" s="151">
        <f>IF(H$12=0,0,MAX((H43*(1+'Data Input 2'!$K$37)*I$12/H$12),0))</f>
        <v>4800000</v>
      </c>
      <c r="J43" s="151">
        <f>IF(I$12=0,0,MAX((I43*(1+'Data Input 2'!$K$37)*J$12/I$12),0))</f>
        <v>4800000</v>
      </c>
      <c r="K43" s="151">
        <f>IF(J$12=0,0,MAX((J43*(1+'Data Input 2'!$K$37)*K$12/J$12),0))</f>
        <v>4800000</v>
      </c>
      <c r="L43" s="151">
        <f>IF(K$12=0,0,MAX((K43*(1+'Data Input 2'!$K$37)*L$12/K$12),0))</f>
        <v>4800000</v>
      </c>
      <c r="M43" s="151">
        <f>IF(L$12=0,0,MAX((L43*(1+'Data Input 2'!$K$37)*M$12/L$12),0))</f>
        <v>4800000</v>
      </c>
      <c r="N43" s="151">
        <f>IF(M$12=0,0,MAX((M43*(1+'Data Input 2'!$K$37)*N$12/M$12),0))</f>
        <v>4800000</v>
      </c>
      <c r="O43" s="151">
        <f>IF(N$12=0,0,MAX((N43*(1+'Data Input 2'!$K$37)*O$12/N$12),0))</f>
        <v>4800000</v>
      </c>
      <c r="P43" s="151">
        <f>IF(O$12=0,0,MAX((O43*(1+'Data Input 2'!$K$37)*P$12/O$12),0))</f>
        <v>4800000</v>
      </c>
      <c r="Q43" s="151">
        <f>IF(P$12=0,0,MAX((P43*(1+'Data Input 2'!$K$37)*Q$12/P$12),0))</f>
        <v>4800000</v>
      </c>
      <c r="R43" s="151">
        <f>IF(Q$12=0,0,MAX((Q43*(1+'Data Input 2'!$K$37)*R$12/Q$12),0))</f>
        <v>4800000</v>
      </c>
      <c r="S43" s="151">
        <f>IF(R$12=0,0,MAX((R43*(1+'Data Input 2'!$K$37)*S$12/R$12),0))</f>
        <v>4800000</v>
      </c>
      <c r="T43" s="151">
        <f>IF(S$12=0,0,MAX((S43*(1+'Data Input 2'!$K$37)*T$12/S$12),0))</f>
        <v>4800000</v>
      </c>
      <c r="U43" s="151">
        <f>IF(T$12=0,0,MAX((T43*(1+'Data Input 2'!$K$37)*U$12/T$12),0))</f>
        <v>4800000</v>
      </c>
      <c r="V43" s="151">
        <f>IF(U$12=0,0,MAX((U43*(1+'Data Input 2'!$K$37)*V$12/U$12),0))</f>
        <v>4800000</v>
      </c>
      <c r="W43" s="151">
        <f>IF(V$12=0,0,MAX((V43*(1+'Data Input 2'!$K$37)*W$12/V$12),0))</f>
        <v>4800000</v>
      </c>
      <c r="X43" s="151">
        <f>IF(W$12=0,0,MAX((W43*(1+'Data Input 2'!$K$37)*X$12/W$12),0))</f>
        <v>4800000</v>
      </c>
    </row>
    <row r="44" spans="1:24" outlineLevel="1" x14ac:dyDescent="0.2">
      <c r="A44" s="159" t="s">
        <v>63</v>
      </c>
      <c r="B44" s="157"/>
      <c r="C44" s="160">
        <f>SUM(C39:C43)</f>
        <v>28507200</v>
      </c>
      <c r="D44" s="160">
        <f t="shared" ref="D44" si="35">SUM(D39:D43)</f>
        <v>28507200</v>
      </c>
      <c r="E44" s="160">
        <f t="shared" ref="E44" si="36">SUM(E39:E43)</f>
        <v>28507200</v>
      </c>
      <c r="F44" s="160">
        <f t="shared" ref="F44" si="37">SUM(F39:F43)</f>
        <v>28507200</v>
      </c>
      <c r="G44" s="160">
        <f t="shared" ref="G44" si="38">SUM(G39:G43)</f>
        <v>28507200</v>
      </c>
      <c r="H44" s="160">
        <f t="shared" ref="H44" si="39">SUM(H39:H43)</f>
        <v>28507200</v>
      </c>
      <c r="I44" s="160">
        <f t="shared" ref="I44" si="40">SUM(I39:I43)</f>
        <v>28507200</v>
      </c>
      <c r="J44" s="160">
        <f t="shared" ref="J44" si="41">SUM(J39:J43)</f>
        <v>28507200</v>
      </c>
      <c r="K44" s="160">
        <f t="shared" ref="K44" si="42">SUM(K39:K43)</f>
        <v>28507200</v>
      </c>
      <c r="L44" s="160">
        <f t="shared" ref="L44" si="43">SUM(L39:L43)</f>
        <v>28507200</v>
      </c>
      <c r="M44" s="160">
        <f t="shared" ref="M44" si="44">SUM(M39:M43)</f>
        <v>28507200</v>
      </c>
      <c r="N44" s="160">
        <f t="shared" ref="N44" si="45">SUM(N39:N43)</f>
        <v>28507200</v>
      </c>
      <c r="O44" s="160">
        <f t="shared" ref="O44:T44" si="46">SUM(O39:O43)</f>
        <v>28507200</v>
      </c>
      <c r="P44" s="160">
        <f t="shared" si="46"/>
        <v>28507200</v>
      </c>
      <c r="Q44" s="160">
        <f t="shared" si="46"/>
        <v>28507200</v>
      </c>
      <c r="R44" s="160">
        <f t="shared" si="46"/>
        <v>28507200</v>
      </c>
      <c r="S44" s="160">
        <f t="shared" si="46"/>
        <v>28507200</v>
      </c>
      <c r="T44" s="160">
        <f t="shared" si="46"/>
        <v>28507200</v>
      </c>
      <c r="U44" s="160">
        <f t="shared" ref="U44:W44" si="47">SUM(U39:U43)</f>
        <v>28507200</v>
      </c>
      <c r="V44" s="160">
        <f t="shared" si="47"/>
        <v>28507200</v>
      </c>
      <c r="W44" s="160">
        <f t="shared" si="47"/>
        <v>28507200</v>
      </c>
      <c r="X44" s="160">
        <f t="shared" ref="X44" si="48">SUM(X39:X43)</f>
        <v>28507200</v>
      </c>
    </row>
    <row r="45" spans="1:24" x14ac:dyDescent="0.2">
      <c r="A45" s="150"/>
      <c r="B45" s="161"/>
      <c r="D45" s="151"/>
      <c r="E45" s="151"/>
      <c r="F45" s="151"/>
      <c r="G45" s="151"/>
      <c r="H45" s="151"/>
      <c r="I45" s="151"/>
      <c r="J45" s="151"/>
      <c r="K45" s="151"/>
      <c r="L45" s="151"/>
      <c r="M45" s="151"/>
      <c r="N45" s="151"/>
      <c r="O45" s="151"/>
      <c r="P45" s="151"/>
      <c r="Q45" s="151"/>
      <c r="R45" s="151"/>
      <c r="S45" s="151"/>
      <c r="T45" s="151"/>
      <c r="U45" s="151"/>
      <c r="V45" s="151"/>
      <c r="W45" s="151"/>
      <c r="X45" s="151"/>
    </row>
    <row r="46" spans="1:24" x14ac:dyDescent="0.2">
      <c r="A46" s="145" t="s">
        <v>48</v>
      </c>
      <c r="B46" s="161"/>
      <c r="D46" s="151"/>
      <c r="E46" s="151"/>
      <c r="F46" s="151"/>
      <c r="G46" s="151"/>
      <c r="H46" s="151"/>
      <c r="I46" s="151"/>
      <c r="J46" s="151"/>
      <c r="K46" s="151"/>
      <c r="L46" s="151"/>
      <c r="M46" s="151"/>
      <c r="N46" s="151"/>
      <c r="O46" s="151"/>
      <c r="P46" s="151"/>
      <c r="Q46" s="151"/>
      <c r="R46" s="151"/>
      <c r="S46" s="151"/>
      <c r="T46" s="151"/>
      <c r="U46" s="151"/>
      <c r="V46" s="151"/>
      <c r="W46" s="151"/>
      <c r="X46" s="151"/>
    </row>
    <row r="47" spans="1:24" outlineLevel="1" x14ac:dyDescent="0.2">
      <c r="A47" s="150" t="str">
        <f>"Irrigation Water Block 1 (" &amp;'Data Input 1'!B29 &amp;" to " &amp;'Data Input 1'!D29 &amp;" gal/month):"</f>
        <v>Irrigation Water Block 1 (0 to 0 gal/month):</v>
      </c>
      <c r="B47" s="157">
        <f>'Data Input 2'!D37</f>
        <v>800000</v>
      </c>
      <c r="C47" s="158">
        <f t="shared" ref="C47:C51" si="49">B47*12</f>
        <v>9600000</v>
      </c>
      <c r="D47" s="151">
        <f>IF(C$14=0,0,MAX((C47*(1+'Data Input 2'!$K$40)*D$14/C$14),0))</f>
        <v>9596160</v>
      </c>
      <c r="E47" s="151">
        <f>IF(D$14=0,0,MAX((D47*(1+'Data Input 2'!$K$40)*E$14/D$14),0))</f>
        <v>9588633.5999999996</v>
      </c>
      <c r="F47" s="151">
        <f>IF(E$14=0,0,MAX((E47*(1+'Data Input 2'!$K$40)*F$14/E$14),0))</f>
        <v>9577569.7919999994</v>
      </c>
      <c r="G47" s="151">
        <f>IF(F$14=0,0,MAX((F47*(1+'Data Input 2'!$K$40)*G$14/F$14),0))</f>
        <v>9563113.0828799997</v>
      </c>
      <c r="H47" s="151">
        <f>IF(G$14=0,0,MAX((G47*(1+'Data Input 2'!$K$40)*H$14/G$14),0))</f>
        <v>9545403.6142079998</v>
      </c>
      <c r="I47" s="151">
        <f>IF(H$14=0,0,MAX((H47*(1+'Data Input 2'!$K$40)*I$14/H$14),0))</f>
        <v>9524577.2790497281</v>
      </c>
      <c r="J47" s="151">
        <f>IF(I$14=0,0,MAX((I47*(1+'Data Input 2'!$K$40)*J$14/I$14),0))</f>
        <v>9500765.8358521033</v>
      </c>
      <c r="K47" s="151">
        <f>IF(J$14=0,0,MAX((J47*(1+'Data Input 2'!$K$40)*K$14/J$14),0))</f>
        <v>9474097.0194707643</v>
      </c>
      <c r="L47" s="151">
        <f>IF(K$14=0,0,MAX((K47*(1+'Data Input 2'!$K$40)*L$14/K$14),0))</f>
        <v>9444694.6494103391</v>
      </c>
      <c r="M47" s="151">
        <f>IF(L$14=0,0,MAX((L47*(1+'Data Input 2'!$K$40)*M$14/L$14),0))</f>
        <v>9412678.7353445422</v>
      </c>
      <c r="N47" s="151">
        <f>IF(M$14=0,0,MAX((M47*(1+'Data Input 2'!$K$40)*N$14/M$14),0))</f>
        <v>9378165.579981612</v>
      </c>
      <c r="O47" s="151">
        <f>IF(N$14=0,0,MAX((N47*(1+'Data Input 2'!$K$40)*O$14/N$14),0))</f>
        <v>9341267.8793390617</v>
      </c>
      <c r="P47" s="151">
        <f>IF(O$14=0,0,MAX((O47*(1+'Data Input 2'!$K$40)*P$14/O$14),0))</f>
        <v>9302094.8204902224</v>
      </c>
      <c r="Q47" s="151">
        <f>IF(P$14=0,0,MAX((P47*(1+'Data Input 2'!$K$40)*Q$14/P$14),0))</f>
        <v>9260752.1768436003</v>
      </c>
      <c r="R47" s="151">
        <f>IF(Q$14=0,0,MAX((Q47*(1+'Data Input 2'!$K$40)*R$14/Q$14),0))</f>
        <v>9217342.4010146465</v>
      </c>
      <c r="S47" s="151">
        <f>IF(R$14=0,0,MAX((R47*(1+'Data Input 2'!$K$40)*S$14/R$14),0))</f>
        <v>9171964.7153481133</v>
      </c>
      <c r="T47" s="151">
        <f>IF(S$14=0,0,MAX((S47*(1+'Data Input 2'!$K$40)*T$14/S$14),0))</f>
        <v>9124715.2001478374</v>
      </c>
      <c r="U47" s="151">
        <f>IF(T$14=0,0,MAX((T47*(1+'Data Input 2'!$K$40)*U$14/T$14),0))</f>
        <v>9075686.8796694297</v>
      </c>
      <c r="V47" s="151">
        <f>IF(U$14=0,0,MAX((U47*(1+'Data Input 2'!$K$40)*V$14/U$14),0))</f>
        <v>9024969.8059301004</v>
      </c>
      <c r="W47" s="151">
        <f>IF(V$14=0,0,MAX((V47*(1+'Data Input 2'!$K$40)*W$14/V$14),0))</f>
        <v>8972651.1403884776</v>
      </c>
      <c r="X47" s="151">
        <f>IF(W$14=0,0,MAX((W47*(1+'Data Input 2'!$K$40)*X$14/W$14),0))</f>
        <v>8918815.2335461471</v>
      </c>
    </row>
    <row r="48" spans="1:24" outlineLevel="1" x14ac:dyDescent="0.2">
      <c r="A48" s="150" t="str">
        <f>"Irrigation Water Block 2 (" &amp;'Data Input 1'!B30 &amp;" to " &amp;'Data Input 1'!D30 &amp;" gal/month):"</f>
        <v>Irrigation Water Block 2 (0 to 0 gal/month):</v>
      </c>
      <c r="B48" s="157">
        <f>'Data Input 2'!D38</f>
        <v>0</v>
      </c>
      <c r="C48" s="158">
        <f t="shared" si="49"/>
        <v>0</v>
      </c>
      <c r="D48" s="151">
        <f>IF(C$14=0,0,MAX((C48*(1+'Data Input 2'!$K$40)*D$14/C$14),0))</f>
        <v>0</v>
      </c>
      <c r="E48" s="151">
        <f>IF(D$14=0,0,MAX((D48*(1+'Data Input 2'!$K$40)*E$14/D$14),0))</f>
        <v>0</v>
      </c>
      <c r="F48" s="151">
        <f>IF(E$14=0,0,MAX((E48*(1+'Data Input 2'!$K$40)*F$14/E$14),0))</f>
        <v>0</v>
      </c>
      <c r="G48" s="151">
        <f>IF(F$14=0,0,MAX((F48*(1+'Data Input 2'!$K$40)*G$14/F$14),0))</f>
        <v>0</v>
      </c>
      <c r="H48" s="151">
        <f>IF(G$14=0,0,MAX((G48*(1+'Data Input 2'!$K$40)*H$14/G$14),0))</f>
        <v>0</v>
      </c>
      <c r="I48" s="151">
        <f>IF(H$14=0,0,MAX((H48*(1+'Data Input 2'!$K$40)*I$14/H$14),0))</f>
        <v>0</v>
      </c>
      <c r="J48" s="151">
        <f>IF(I$14=0,0,MAX((I48*(1+'Data Input 2'!$K$40)*J$14/I$14),0))</f>
        <v>0</v>
      </c>
      <c r="K48" s="151">
        <f>IF(J$14=0,0,MAX((J48*(1+'Data Input 2'!$K$40)*K$14/J$14),0))</f>
        <v>0</v>
      </c>
      <c r="L48" s="151">
        <f>IF(K$14=0,0,MAX((K48*(1+'Data Input 2'!$K$40)*L$14/K$14),0))</f>
        <v>0</v>
      </c>
      <c r="M48" s="151">
        <f>IF(L$14=0,0,MAX((L48*(1+'Data Input 2'!$K$40)*M$14/L$14),0))</f>
        <v>0</v>
      </c>
      <c r="N48" s="151">
        <f>IF(M$14=0,0,MAX((M48*(1+'Data Input 2'!$K$40)*N$14/M$14),0))</f>
        <v>0</v>
      </c>
      <c r="O48" s="151">
        <f>IF(N$14=0,0,MAX((N48*(1+'Data Input 2'!$K$40)*O$14/N$14),0))</f>
        <v>0</v>
      </c>
      <c r="P48" s="151">
        <f>IF(O$14=0,0,MAX((O48*(1+'Data Input 2'!$K$40)*P$14/O$14),0))</f>
        <v>0</v>
      </c>
      <c r="Q48" s="151">
        <f>IF(P$14=0,0,MAX((P48*(1+'Data Input 2'!$K$40)*Q$14/P$14),0))</f>
        <v>0</v>
      </c>
      <c r="R48" s="151">
        <f>IF(Q$14=0,0,MAX((Q48*(1+'Data Input 2'!$K$40)*R$14/Q$14),0))</f>
        <v>0</v>
      </c>
      <c r="S48" s="151">
        <f>IF(R$14=0,0,MAX((R48*(1+'Data Input 2'!$K$40)*S$14/R$14),0))</f>
        <v>0</v>
      </c>
      <c r="T48" s="151">
        <f>IF(S$14=0,0,MAX((S48*(1+'Data Input 2'!$K$40)*T$14/S$14),0))</f>
        <v>0</v>
      </c>
      <c r="U48" s="151">
        <f>IF(T$14=0,0,MAX((T48*(1+'Data Input 2'!$K$40)*U$14/T$14),0))</f>
        <v>0</v>
      </c>
      <c r="V48" s="151">
        <f>IF(U$14=0,0,MAX((U48*(1+'Data Input 2'!$K$40)*V$14/U$14),0))</f>
        <v>0</v>
      </c>
      <c r="W48" s="151">
        <f>IF(V$14=0,0,MAX((V48*(1+'Data Input 2'!$K$40)*W$14/V$14),0))</f>
        <v>0</v>
      </c>
      <c r="X48" s="151">
        <f>IF(W$14=0,0,MAX((W48*(1+'Data Input 2'!$K$40)*X$14/W$14),0))</f>
        <v>0</v>
      </c>
    </row>
    <row r="49" spans="1:24" outlineLevel="1" x14ac:dyDescent="0.2">
      <c r="A49" s="150" t="str">
        <f>"Irrigation Water Block 3 (" &amp;'Data Input 1'!B31 &amp;" to " &amp;'Data Input 1'!D31 &amp;" gal/month):"</f>
        <v>Irrigation Water Block 3 (0 to 0 gal/month):</v>
      </c>
      <c r="B49" s="157">
        <f>'Data Input 2'!D39</f>
        <v>0</v>
      </c>
      <c r="C49" s="158">
        <f t="shared" si="49"/>
        <v>0</v>
      </c>
      <c r="D49" s="151">
        <f>IF(C$14=0,0,MAX((C49*(1+'Data Input 2'!$K$40)*D$14/C$14),0))</f>
        <v>0</v>
      </c>
      <c r="E49" s="151">
        <f>IF(D$14=0,0,MAX((D49*(1+'Data Input 2'!$K$40)*E$14/D$14),0))</f>
        <v>0</v>
      </c>
      <c r="F49" s="151">
        <f>IF(E$14=0,0,MAX((E49*(1+'Data Input 2'!$K$40)*F$14/E$14),0))</f>
        <v>0</v>
      </c>
      <c r="G49" s="151">
        <f>IF(F$14=0,0,MAX((F49*(1+'Data Input 2'!$K$40)*G$14/F$14),0))</f>
        <v>0</v>
      </c>
      <c r="H49" s="151">
        <f>IF(G$14=0,0,MAX((G49*(1+'Data Input 2'!$K$40)*H$14/G$14),0))</f>
        <v>0</v>
      </c>
      <c r="I49" s="151">
        <f>IF(H$14=0,0,MAX((H49*(1+'Data Input 2'!$K$40)*I$14/H$14),0))</f>
        <v>0</v>
      </c>
      <c r="J49" s="151">
        <f>IF(I$14=0,0,MAX((I49*(1+'Data Input 2'!$K$40)*J$14/I$14),0))</f>
        <v>0</v>
      </c>
      <c r="K49" s="151">
        <f>IF(J$14=0,0,MAX((J49*(1+'Data Input 2'!$K$40)*K$14/J$14),0))</f>
        <v>0</v>
      </c>
      <c r="L49" s="151">
        <f>IF(K$14=0,0,MAX((K49*(1+'Data Input 2'!$K$40)*L$14/K$14),0))</f>
        <v>0</v>
      </c>
      <c r="M49" s="151">
        <f>IF(L$14=0,0,MAX((L49*(1+'Data Input 2'!$K$40)*M$14/L$14),0))</f>
        <v>0</v>
      </c>
      <c r="N49" s="151">
        <f>IF(M$14=0,0,MAX((M49*(1+'Data Input 2'!$K$40)*N$14/M$14),0))</f>
        <v>0</v>
      </c>
      <c r="O49" s="151">
        <f>IF(N$14=0,0,MAX((N49*(1+'Data Input 2'!$K$40)*O$14/N$14),0))</f>
        <v>0</v>
      </c>
      <c r="P49" s="151">
        <f>IF(O$14=0,0,MAX((O49*(1+'Data Input 2'!$K$40)*P$14/O$14),0))</f>
        <v>0</v>
      </c>
      <c r="Q49" s="151">
        <f>IF(P$14=0,0,MAX((P49*(1+'Data Input 2'!$K$40)*Q$14/P$14),0))</f>
        <v>0</v>
      </c>
      <c r="R49" s="151">
        <f>IF(Q$14=0,0,MAX((Q49*(1+'Data Input 2'!$K$40)*R$14/Q$14),0))</f>
        <v>0</v>
      </c>
      <c r="S49" s="151">
        <f>IF(R$14=0,0,MAX((R49*(1+'Data Input 2'!$K$40)*S$14/R$14),0))</f>
        <v>0</v>
      </c>
      <c r="T49" s="151">
        <f>IF(S$14=0,0,MAX((S49*(1+'Data Input 2'!$K$40)*T$14/S$14),0))</f>
        <v>0</v>
      </c>
      <c r="U49" s="151">
        <f>IF(T$14=0,0,MAX((T49*(1+'Data Input 2'!$K$40)*U$14/T$14),0))</f>
        <v>0</v>
      </c>
      <c r="V49" s="151">
        <f>IF(U$14=0,0,MAX((U49*(1+'Data Input 2'!$K$40)*V$14/U$14),0))</f>
        <v>0</v>
      </c>
      <c r="W49" s="151">
        <f>IF(V$14=0,0,MAX((V49*(1+'Data Input 2'!$K$40)*W$14/V$14),0))</f>
        <v>0</v>
      </c>
      <c r="X49" s="151">
        <f>IF(W$14=0,0,MAX((W49*(1+'Data Input 2'!$K$40)*X$14/W$14),0))</f>
        <v>0</v>
      </c>
    </row>
    <row r="50" spans="1:24" outlineLevel="1" x14ac:dyDescent="0.2">
      <c r="A50" s="150" t="str">
        <f>"Irrigation Water Block 4 (" &amp;'Data Input 1'!B32 &amp;" to " &amp;'Data Input 1'!D32 &amp;" gal/month):"</f>
        <v>Irrigation Water Block 4 (0 to 0 gal/month):</v>
      </c>
      <c r="B50" s="157">
        <f>'Data Input 2'!D40</f>
        <v>0</v>
      </c>
      <c r="C50" s="158">
        <f t="shared" si="49"/>
        <v>0</v>
      </c>
      <c r="D50" s="151">
        <f>IF(C$14=0,0,MAX((C50*(1+'Data Input 2'!$K$40)*D$14/C$14),0))</f>
        <v>0</v>
      </c>
      <c r="E50" s="151">
        <f>IF(D$14=0,0,MAX((D50*(1+'Data Input 2'!$K$40)*E$14/D$14),0))</f>
        <v>0</v>
      </c>
      <c r="F50" s="151">
        <f>IF(E$14=0,0,MAX((E50*(1+'Data Input 2'!$K$40)*F$14/E$14),0))</f>
        <v>0</v>
      </c>
      <c r="G50" s="151">
        <f>IF(F$14=0,0,MAX((F50*(1+'Data Input 2'!$K$40)*G$14/F$14),0))</f>
        <v>0</v>
      </c>
      <c r="H50" s="151">
        <f>IF(G$14=0,0,MAX((G50*(1+'Data Input 2'!$K$40)*H$14/G$14),0))</f>
        <v>0</v>
      </c>
      <c r="I50" s="151">
        <f>IF(H$14=0,0,MAX((H50*(1+'Data Input 2'!$K$40)*I$14/H$14),0))</f>
        <v>0</v>
      </c>
      <c r="J50" s="151">
        <f>IF(I$14=0,0,MAX((I50*(1+'Data Input 2'!$K$40)*J$14/I$14),0))</f>
        <v>0</v>
      </c>
      <c r="K50" s="151">
        <f>IF(J$14=0,0,MAX((J50*(1+'Data Input 2'!$K$40)*K$14/J$14),0))</f>
        <v>0</v>
      </c>
      <c r="L50" s="151">
        <f>IF(K$14=0,0,MAX((K50*(1+'Data Input 2'!$K$40)*L$14/K$14),0))</f>
        <v>0</v>
      </c>
      <c r="M50" s="151">
        <f>IF(L$14=0,0,MAX((L50*(1+'Data Input 2'!$K$40)*M$14/L$14),0))</f>
        <v>0</v>
      </c>
      <c r="N50" s="151">
        <f>IF(M$14=0,0,MAX((M50*(1+'Data Input 2'!$K$40)*N$14/M$14),0))</f>
        <v>0</v>
      </c>
      <c r="O50" s="151">
        <f>IF(N$14=0,0,MAX((N50*(1+'Data Input 2'!$K$40)*O$14/N$14),0))</f>
        <v>0</v>
      </c>
      <c r="P50" s="151">
        <f>IF(O$14=0,0,MAX((O50*(1+'Data Input 2'!$K$40)*P$14/O$14),0))</f>
        <v>0</v>
      </c>
      <c r="Q50" s="151">
        <f>IF(P$14=0,0,MAX((P50*(1+'Data Input 2'!$K$40)*Q$14/P$14),0))</f>
        <v>0</v>
      </c>
      <c r="R50" s="151">
        <f>IF(Q$14=0,0,MAX((Q50*(1+'Data Input 2'!$K$40)*R$14/Q$14),0))</f>
        <v>0</v>
      </c>
      <c r="S50" s="151">
        <f>IF(R$14=0,0,MAX((R50*(1+'Data Input 2'!$K$40)*S$14/R$14),0))</f>
        <v>0</v>
      </c>
      <c r="T50" s="151">
        <f>IF(S$14=0,0,MAX((S50*(1+'Data Input 2'!$K$40)*T$14/S$14),0))</f>
        <v>0</v>
      </c>
      <c r="U50" s="151">
        <f>IF(T$14=0,0,MAX((T50*(1+'Data Input 2'!$K$40)*U$14/T$14),0))</f>
        <v>0</v>
      </c>
      <c r="V50" s="151">
        <f>IF(U$14=0,0,MAX((U50*(1+'Data Input 2'!$K$40)*V$14/U$14),0))</f>
        <v>0</v>
      </c>
      <c r="W50" s="151">
        <f>IF(V$14=0,0,MAX((V50*(1+'Data Input 2'!$K$40)*W$14/V$14),0))</f>
        <v>0</v>
      </c>
      <c r="X50" s="151">
        <f>IF(W$14=0,0,MAX((W50*(1+'Data Input 2'!$K$40)*X$14/W$14),0))</f>
        <v>0</v>
      </c>
    </row>
    <row r="51" spans="1:24" outlineLevel="1" x14ac:dyDescent="0.2">
      <c r="A51" s="150" t="str">
        <f>"Irrigation Water Block 5 (" &amp;'Data Input 1'!B33 &amp;" and above):"</f>
        <v>Irrigation Water Block 5 (0 and above):</v>
      </c>
      <c r="B51" s="157">
        <f>'Data Input 2'!D41</f>
        <v>0</v>
      </c>
      <c r="C51" s="158">
        <f t="shared" si="49"/>
        <v>0</v>
      </c>
      <c r="D51" s="151">
        <f>IF(C$14=0,0,MAX((C51*(1+'Data Input 2'!$K$40)*D$14/C$14),0))</f>
        <v>0</v>
      </c>
      <c r="E51" s="151">
        <f>IF(D$14=0,0,MAX((D51*(1+'Data Input 2'!$K$40)*E$14/D$14),0))</f>
        <v>0</v>
      </c>
      <c r="F51" s="151">
        <f>IF(E$14=0,0,MAX((E51*(1+'Data Input 2'!$K$40)*F$14/E$14),0))</f>
        <v>0</v>
      </c>
      <c r="G51" s="151">
        <f>IF(F$14=0,0,MAX((F51*(1+'Data Input 2'!$K$40)*G$14/F$14),0))</f>
        <v>0</v>
      </c>
      <c r="H51" s="151">
        <f>IF(G$14=0,0,MAX((G51*(1+'Data Input 2'!$K$40)*H$14/G$14),0))</f>
        <v>0</v>
      </c>
      <c r="I51" s="151">
        <f>IF(H$14=0,0,MAX((H51*(1+'Data Input 2'!$K$40)*I$14/H$14),0))</f>
        <v>0</v>
      </c>
      <c r="J51" s="151">
        <f>IF(I$14=0,0,MAX((I51*(1+'Data Input 2'!$K$40)*J$14/I$14),0))</f>
        <v>0</v>
      </c>
      <c r="K51" s="151">
        <f>IF(J$14=0,0,MAX((J51*(1+'Data Input 2'!$K$40)*K$14/J$14),0))</f>
        <v>0</v>
      </c>
      <c r="L51" s="151">
        <f>IF(K$14=0,0,MAX((K51*(1+'Data Input 2'!$K$40)*L$14/K$14),0))</f>
        <v>0</v>
      </c>
      <c r="M51" s="151">
        <f>IF(L$14=0,0,MAX((L51*(1+'Data Input 2'!$K$40)*M$14/L$14),0))</f>
        <v>0</v>
      </c>
      <c r="N51" s="151">
        <f>IF(M$14=0,0,MAX((M51*(1+'Data Input 2'!$K$40)*N$14/M$14),0))</f>
        <v>0</v>
      </c>
      <c r="O51" s="151">
        <f>IF(N$14=0,0,MAX((N51*(1+'Data Input 2'!$K$40)*O$14/N$14),0))</f>
        <v>0</v>
      </c>
      <c r="P51" s="151">
        <f>IF(O$14=0,0,MAX((O51*(1+'Data Input 2'!$K$40)*P$14/O$14),0))</f>
        <v>0</v>
      </c>
      <c r="Q51" s="151">
        <f>IF(P$14=0,0,MAX((P51*(1+'Data Input 2'!$K$40)*Q$14/P$14),0))</f>
        <v>0</v>
      </c>
      <c r="R51" s="151">
        <f>IF(Q$14=0,0,MAX((Q51*(1+'Data Input 2'!$K$40)*R$14/Q$14),0))</f>
        <v>0</v>
      </c>
      <c r="S51" s="151">
        <f>IF(R$14=0,0,MAX((R51*(1+'Data Input 2'!$K$40)*S$14/R$14),0))</f>
        <v>0</v>
      </c>
      <c r="T51" s="151">
        <f>IF(S$14=0,0,MAX((S51*(1+'Data Input 2'!$K$40)*T$14/S$14),0))</f>
        <v>0</v>
      </c>
      <c r="U51" s="151">
        <f>IF(T$14=0,0,MAX((T51*(1+'Data Input 2'!$K$40)*U$14/T$14),0))</f>
        <v>0</v>
      </c>
      <c r="V51" s="151">
        <f>IF(U$14=0,0,MAX((U51*(1+'Data Input 2'!$K$40)*V$14/U$14),0))</f>
        <v>0</v>
      </c>
      <c r="W51" s="151">
        <f>IF(V$14=0,0,MAX((V51*(1+'Data Input 2'!$K$40)*W$14/V$14),0))</f>
        <v>0</v>
      </c>
      <c r="X51" s="151">
        <f>IF(W$14=0,0,MAX((W51*(1+'Data Input 2'!$K$40)*X$14/W$14),0))</f>
        <v>0</v>
      </c>
    </row>
    <row r="52" spans="1:24" outlineLevel="1" x14ac:dyDescent="0.2">
      <c r="A52" s="159" t="s">
        <v>64</v>
      </c>
      <c r="B52" s="157"/>
      <c r="C52" s="160">
        <f>SUM(C47:C51)</f>
        <v>9600000</v>
      </c>
      <c r="D52" s="160">
        <f t="shared" ref="D52" si="50">SUM(D47:D51)</f>
        <v>9596160</v>
      </c>
      <c r="E52" s="160">
        <f t="shared" ref="E52" si="51">SUM(E47:E51)</f>
        <v>9588633.5999999996</v>
      </c>
      <c r="F52" s="160">
        <f t="shared" ref="F52" si="52">SUM(F47:F51)</f>
        <v>9577569.7919999994</v>
      </c>
      <c r="G52" s="160">
        <f t="shared" ref="G52" si="53">SUM(G47:G51)</f>
        <v>9563113.0828799997</v>
      </c>
      <c r="H52" s="160">
        <f t="shared" ref="H52" si="54">SUM(H47:H51)</f>
        <v>9545403.6142079998</v>
      </c>
      <c r="I52" s="160">
        <f t="shared" ref="I52" si="55">SUM(I47:I51)</f>
        <v>9524577.2790497281</v>
      </c>
      <c r="J52" s="160">
        <f t="shared" ref="J52" si="56">SUM(J47:J51)</f>
        <v>9500765.8358521033</v>
      </c>
      <c r="K52" s="160">
        <f t="shared" ref="K52" si="57">SUM(K47:K51)</f>
        <v>9474097.0194707643</v>
      </c>
      <c r="L52" s="160">
        <f t="shared" ref="L52" si="58">SUM(L47:L51)</f>
        <v>9444694.6494103391</v>
      </c>
      <c r="M52" s="160">
        <f t="shared" ref="M52" si="59">SUM(M47:M51)</f>
        <v>9412678.7353445422</v>
      </c>
      <c r="N52" s="160">
        <f t="shared" ref="N52" si="60">SUM(N47:N51)</f>
        <v>9378165.579981612</v>
      </c>
      <c r="O52" s="160">
        <f t="shared" ref="O52:T52" si="61">SUM(O47:O51)</f>
        <v>9341267.8793390617</v>
      </c>
      <c r="P52" s="160">
        <f t="shared" si="61"/>
        <v>9302094.8204902224</v>
      </c>
      <c r="Q52" s="160">
        <f t="shared" si="61"/>
        <v>9260752.1768436003</v>
      </c>
      <c r="R52" s="160">
        <f t="shared" si="61"/>
        <v>9217342.4010146465</v>
      </c>
      <c r="S52" s="160">
        <f t="shared" si="61"/>
        <v>9171964.7153481133</v>
      </c>
      <c r="T52" s="160">
        <f t="shared" si="61"/>
        <v>9124715.2001478374</v>
      </c>
      <c r="U52" s="160">
        <f t="shared" ref="U52:W52" si="62">SUM(U47:U51)</f>
        <v>9075686.8796694297</v>
      </c>
      <c r="V52" s="160">
        <f t="shared" si="62"/>
        <v>9024969.8059301004</v>
      </c>
      <c r="W52" s="160">
        <f t="shared" si="62"/>
        <v>8972651.1403884776</v>
      </c>
      <c r="X52" s="160">
        <f t="shared" ref="X52" si="63">SUM(X47:X51)</f>
        <v>8918815.2335461471</v>
      </c>
    </row>
    <row r="53" spans="1:24" x14ac:dyDescent="0.2">
      <c r="A53" s="150"/>
      <c r="B53" s="154"/>
      <c r="D53" s="151"/>
      <c r="E53" s="156"/>
      <c r="F53" s="156"/>
      <c r="G53" s="156"/>
      <c r="H53" s="156"/>
      <c r="I53" s="156"/>
      <c r="J53" s="156"/>
      <c r="K53" s="156"/>
      <c r="L53" s="156"/>
      <c r="M53" s="156"/>
      <c r="N53" s="156"/>
    </row>
    <row r="54" spans="1:24" x14ac:dyDescent="0.2">
      <c r="A54" s="147" t="s">
        <v>65</v>
      </c>
      <c r="B54" s="154"/>
      <c r="D54" s="151"/>
      <c r="E54" s="156"/>
      <c r="F54" s="156"/>
      <c r="G54" s="156"/>
      <c r="H54" s="156"/>
      <c r="I54" s="156"/>
      <c r="J54" s="156"/>
      <c r="K54" s="156"/>
      <c r="L54" s="156"/>
      <c r="M54" s="156"/>
      <c r="N54" s="156"/>
    </row>
    <row r="55" spans="1:24" x14ac:dyDescent="0.2">
      <c r="A55" s="150" t="s">
        <v>23</v>
      </c>
      <c r="B55" s="154"/>
      <c r="C55" s="164">
        <f>(12*C8*'Data Input 1'!$F$8)+(C17*'Data Input 1'!$F$10+C18*'Data Input 1'!$F$11+C19*'Data Input 1'!$F$12+C20*'Data Input 1'!$F$13+C21*'Data Input 1'!$F$14)/1000</f>
        <v>324000</v>
      </c>
      <c r="D55" s="164">
        <f>(12*D8*'Data Input 1'!$F$8)+(D17*'Data Input 1'!$F$10+D18*'Data Input 1'!$F$11+D19*'Data Input 1'!$F$12+D20*'Data Input 1'!$F$13+D21*'Data Input 1'!$F$14)/1000</f>
        <v>325906.8</v>
      </c>
      <c r="E55" s="164">
        <f>(12*E8*'Data Input 1'!$F$8)+(E17*'Data Input 1'!$F$10+E18*'Data Input 1'!$F$11+E19*'Data Input 1'!$F$12+E20*'Data Input 1'!$F$13+E21*'Data Input 1'!$F$14)/1000</f>
        <v>327800.66399999999</v>
      </c>
      <c r="F55" s="164">
        <f>(12*F8*'Data Input 1'!$F$8)+(F17*'Data Input 1'!$F$10+F18*'Data Input 1'!$F$11+F19*'Data Input 1'!$F$12+F20*'Data Input 1'!$F$13+F21*'Data Input 1'!$F$14)/1000</f>
        <v>329681.85204000003</v>
      </c>
      <c r="G55" s="164">
        <f>(12*G8*'Data Input 1'!$F$8)+(G17*'Data Input 1'!$F$10+G18*'Data Input 1'!$F$11+G19*'Data Input 1'!$F$12+G20*'Data Input 1'!$F$13+G21*'Data Input 1'!$F$14)/1000</f>
        <v>331550.6202528</v>
      </c>
      <c r="H55" s="164">
        <f>(12*H8*'Data Input 1'!$F$8)+(H17*'Data Input 1'!$F$10+H18*'Data Input 1'!$F$11+H19*'Data Input 1'!$F$12+H20*'Data Input 1'!$F$13+H21*'Data Input 1'!$F$14)/1000</f>
        <v>333407.22091614001</v>
      </c>
      <c r="I55" s="164">
        <f>(12*I8*'Data Input 1'!$F$8)+(I17*'Data Input 1'!$F$10+I18*'Data Input 1'!$F$11+I19*'Data Input 1'!$F$12+I20*'Data Input 1'!$F$13+I21*'Data Input 1'!$F$14)/1000</f>
        <v>335568.17788390885</v>
      </c>
      <c r="J55" s="164">
        <f>(12*J8*'Data Input 1'!$F$8)+(J17*'Data Input 1'!$F$10+J18*'Data Input 1'!$F$11+J19*'Data Input 1'!$F$12+J20*'Data Input 1'!$F$13+J21*'Data Input 1'!$F$14)/1000</f>
        <v>337714.97499023075</v>
      </c>
      <c r="K55" s="164">
        <f>(12*K8*'Data Input 1'!$F$8)+(K17*'Data Input 1'!$F$10+K18*'Data Input 1'!$F$11+K19*'Data Input 1'!$F$12+K20*'Data Input 1'!$F$13+K21*'Data Input 1'!$F$14)/1000</f>
        <v>339847.89053663774</v>
      </c>
      <c r="L55" s="164">
        <f>(12*L8*'Data Input 1'!$F$8)+(L17*'Data Input 1'!$F$10+L18*'Data Input 1'!$F$11+L19*'Data Input 1'!$F$12+L20*'Data Input 1'!$F$13+L21*'Data Input 1'!$F$14)/1000</f>
        <v>341967.19867461763</v>
      </c>
      <c r="M55" s="164">
        <f>(12*M8*'Data Input 1'!$F$8)+(M17*'Data Input 1'!$F$10+M18*'Data Input 1'!$F$11+M19*'Data Input 1'!$F$12+M20*'Data Input 1'!$F$13+M21*'Data Input 1'!$F$14)/1000</f>
        <v>344073.16946078418</v>
      </c>
      <c r="N55" s="164">
        <f>(12*N8*'Data Input 1'!$F$8)+(N17*'Data Input 1'!$F$10+N18*'Data Input 1'!$F$11+N19*'Data Input 1'!$F$12+N20*'Data Input 1'!$F$13+N21*'Data Input 1'!$F$14)/1000</f>
        <v>346166.06891136005</v>
      </c>
      <c r="O55" s="164">
        <f>(12*O8*'Data Input 1'!$F$8)+(O17*'Data Input 1'!$F$10+O18*'Data Input 1'!$F$11+O19*'Data Input 1'!$F$12+O20*'Data Input 1'!$F$13+O21*'Data Input 1'!$F$14)/1000</f>
        <v>348246.15905597829</v>
      </c>
      <c r="P55" s="164">
        <f>(12*P8*'Data Input 1'!$F$8)+(P17*'Data Input 1'!$F$10+P18*'Data Input 1'!$F$11+P19*'Data Input 1'!$F$12+P20*'Data Input 1'!$F$13+P21*'Data Input 1'!$F$14)/1000</f>
        <v>350313.697990813</v>
      </c>
      <c r="Q55" s="164">
        <f>(12*Q8*'Data Input 1'!$F$8)+(Q17*'Data Input 1'!$F$10+Q18*'Data Input 1'!$F$11+Q19*'Data Input 1'!$F$12+Q20*'Data Input 1'!$F$13+Q21*'Data Input 1'!$F$14)/1000</f>
        <v>352368.9399310454</v>
      </c>
      <c r="R55" s="164">
        <f>(12*R8*'Data Input 1'!$F$8)+(R17*'Data Input 1'!$F$10+R18*'Data Input 1'!$F$11+R19*'Data Input 1'!$F$12+R20*'Data Input 1'!$F$13+R21*'Data Input 1'!$F$14)/1000</f>
        <v>354412.13526267413</v>
      </c>
      <c r="S55" s="164">
        <f>(12*S8*'Data Input 1'!$F$8)+(S17*'Data Input 1'!$F$10+S18*'Data Input 1'!$F$11+S19*'Data Input 1'!$F$12+S20*'Data Input 1'!$F$13+S21*'Data Input 1'!$F$14)/1000</f>
        <v>356747.92301946168</v>
      </c>
      <c r="T55" s="164">
        <f>(12*T8*'Data Input 1'!$F$8)+(T17*'Data Input 1'!$F$10+T18*'Data Input 1'!$F$11+T19*'Data Input 1'!$F$12+T20*'Data Input 1'!$F$13+T21*'Data Input 1'!$F$14)/1000</f>
        <v>359069.9058075872</v>
      </c>
      <c r="U55" s="164">
        <f>(12*U8*'Data Input 1'!$F$8)+(U17*'Data Input 1'!$F$10+U18*'Data Input 1'!$F$11+U19*'Data Input 1'!$F$12+U20*'Data Input 1'!$F$13+U21*'Data Input 1'!$F$14)/1000</f>
        <v>361378.35654764832</v>
      </c>
      <c r="V55" s="164">
        <f>(12*V8*'Data Input 1'!$F$8)+(V17*'Data Input 1'!$F$10+V18*'Data Input 1'!$F$11+V19*'Data Input 1'!$F$12+V20*'Data Input 1'!$F$13+V21*'Data Input 1'!$F$14)/1000</f>
        <v>363673.54408232734</v>
      </c>
      <c r="W55" s="164">
        <f>(12*W8*'Data Input 1'!$F$8)+(W17*'Data Input 1'!$F$10+W18*'Data Input 1'!$F$11+W19*'Data Input 1'!$F$12+W20*'Data Input 1'!$F$13+W21*'Data Input 1'!$F$14)/1000</f>
        <v>365955.73323065811</v>
      </c>
      <c r="X55" s="164">
        <f>(12*X8*'Data Input 1'!$F$8)+(X17*'Data Input 1'!$F$10+X18*'Data Input 1'!$F$11+X19*'Data Input 1'!$F$12+X20*'Data Input 1'!$F$13+X21*'Data Input 1'!$F$14)/1000</f>
        <v>368225.18484161398</v>
      </c>
    </row>
    <row r="56" spans="1:24" x14ac:dyDescent="0.2">
      <c r="A56" s="150" t="s">
        <v>24</v>
      </c>
      <c r="B56" s="154"/>
      <c r="C56" s="164">
        <f>(12*C9*'Data Input 1'!$F$16)+(C24*'Data Input 1'!$F$18+C25*'Data Input 1'!$F$19+C26*'Data Input 1'!$F$20+C27*'Data Input 1'!$F$21+C28*'Data Input 1'!$F$22)/1000</f>
        <v>278400</v>
      </c>
      <c r="D56" s="164">
        <f>(12*D9*'Data Input 1'!$F$16)+(D24*'Data Input 1'!$F$18+D25*'Data Input 1'!$F$19+D26*'Data Input 1'!$F$20+D27*'Data Input 1'!$F$21+D28*'Data Input 1'!$F$22)/1000</f>
        <v>280117.44</v>
      </c>
      <c r="E56" s="164">
        <f>(12*E9*'Data Input 1'!$F$16)+(E24*'Data Input 1'!$F$18+E25*'Data Input 1'!$F$19+E26*'Data Input 1'!$F$20+E27*'Data Input 1'!$F$21+E28*'Data Input 1'!$F$22)/1000</f>
        <v>281824.53119999997</v>
      </c>
      <c r="F56" s="164">
        <f>(12*F9*'Data Input 1'!$F$16)+(F24*'Data Input 1'!$F$18+F25*'Data Input 1'!$F$19+F26*'Data Input 1'!$F$20+F27*'Data Input 1'!$F$21+F28*'Data Input 1'!$F$22)/1000</f>
        <v>283521.48163200001</v>
      </c>
      <c r="G56" s="164">
        <f>(12*G9*'Data Input 1'!$F$16)+(G24*'Data Input 1'!$F$18+G25*'Data Input 1'!$F$19+G26*'Data Input 1'!$F$20+G27*'Data Input 1'!$F$21+G28*'Data Input 1'!$F$22)/1000</f>
        <v>285208.49620224</v>
      </c>
      <c r="H56" s="164">
        <f>(12*H9*'Data Input 1'!$F$16)+(H24*'Data Input 1'!$F$18+H25*'Data Input 1'!$F$19+H26*'Data Input 1'!$F$20+H27*'Data Input 1'!$F$21+H28*'Data Input 1'!$F$22)/1000</f>
        <v>286885.776732912</v>
      </c>
      <c r="I56" s="164">
        <f>(12*I9*'Data Input 1'!$F$16)+(I24*'Data Input 1'!$F$18+I25*'Data Input 1'!$F$19+I26*'Data Input 1'!$F$20+I27*'Data Input 1'!$F$21+I28*'Data Input 1'!$F$22)/1000</f>
        <v>288553.52200335031</v>
      </c>
      <c r="J56" s="164">
        <f>(12*J9*'Data Input 1'!$F$16)+(J24*'Data Input 1'!$F$18+J25*'Data Input 1'!$F$19+J26*'Data Input 1'!$F$20+J27*'Data Input 1'!$F$21+J28*'Data Input 1'!$F$22)/1000</f>
        <v>290211.92779070663</v>
      </c>
      <c r="K56" s="164">
        <f>(12*K9*'Data Input 1'!$F$16)+(K24*'Data Input 1'!$F$18+K25*'Data Input 1'!$F$19+K26*'Data Input 1'!$F$20+K27*'Data Input 1'!$F$21+K28*'Data Input 1'!$F$22)/1000</f>
        <v>292198.98920977989</v>
      </c>
      <c r="L56" s="164">
        <f>(12*L9*'Data Input 1'!$F$16)+(L24*'Data Input 1'!$F$18+L25*'Data Input 1'!$F$19+L26*'Data Input 1'!$F$20+L27*'Data Input 1'!$F$21+L28*'Data Input 1'!$F$22)/1000</f>
        <v>294174.65780769265</v>
      </c>
      <c r="M56" s="164">
        <f>(12*M9*'Data Input 1'!$F$16)+(M24*'Data Input 1'!$F$18+M25*'Data Input 1'!$F$19+M26*'Data Input 1'!$F$20+M27*'Data Input 1'!$F$21+M28*'Data Input 1'!$F$22)/1000</f>
        <v>296139.15713472618</v>
      </c>
      <c r="N56" s="164">
        <f>(12*N9*'Data Input 1'!$F$16)+(N24*'Data Input 1'!$F$18+N25*'Data Input 1'!$F$19+N26*'Data Input 1'!$F$20+N27*'Data Input 1'!$F$21+N28*'Data Input 1'!$F$22)/1000</f>
        <v>298092.70740943833</v>
      </c>
      <c r="O56" s="164">
        <f>(12*O9*'Data Input 1'!$F$16)+(O24*'Data Input 1'!$F$18+O25*'Data Input 1'!$F$19+O26*'Data Input 1'!$F$20+O27*'Data Input 1'!$F$21+O28*'Data Input 1'!$F$22)/1000</f>
        <v>300035.52556294267</v>
      </c>
      <c r="P56" s="164">
        <f>(12*P9*'Data Input 1'!$F$16)+(P24*'Data Input 1'!$F$18+P25*'Data Input 1'!$F$19+P26*'Data Input 1'!$F$20+P27*'Data Input 1'!$F$21+P28*'Data Input 1'!$F$22)/1000</f>
        <v>301967.82528263598</v>
      </c>
      <c r="Q56" s="164">
        <f>(12*Q9*'Data Input 1'!$F$16)+(Q24*'Data Input 1'!$F$18+Q25*'Data Input 1'!$F$19+Q26*'Data Input 1'!$F$20+Q27*'Data Input 1'!$F$21+Q28*'Data Input 1'!$F$22)/1000</f>
        <v>303889.81705537922</v>
      </c>
      <c r="R56" s="164">
        <f>(12*R9*'Data Input 1'!$F$16)+(R24*'Data Input 1'!$F$18+R25*'Data Input 1'!$F$19+R26*'Data Input 1'!$F$20+R27*'Data Input 1'!$F$21+R28*'Data Input 1'!$F$22)/1000</f>
        <v>305801.70821013924</v>
      </c>
      <c r="S56" s="164">
        <f>(12*S9*'Data Input 1'!$F$16)+(S24*'Data Input 1'!$F$18+S25*'Data Input 1'!$F$19+S26*'Data Input 1'!$F$20+S27*'Data Input 1'!$F$21+S28*'Data Input 1'!$F$22)/1000</f>
        <v>307703.70296009857</v>
      </c>
      <c r="T56" s="164">
        <f>(12*T9*'Data Input 1'!$F$16)+(T24*'Data Input 1'!$F$18+T25*'Data Input 1'!$F$19+T26*'Data Input 1'!$F$20+T27*'Data Input 1'!$F$21+T28*'Data Input 1'!$F$22)/1000</f>
        <v>309596.0024442377</v>
      </c>
      <c r="U56" s="164">
        <f>(12*U9*'Data Input 1'!$F$16)+(U24*'Data Input 1'!$F$18+U25*'Data Input 1'!$F$19+U26*'Data Input 1'!$F$20+U27*'Data Input 1'!$F$21+U28*'Data Input 1'!$F$22)/1000</f>
        <v>311478.804768398</v>
      </c>
      <c r="V56" s="164">
        <f>(12*V9*'Data Input 1'!$F$16)+(V24*'Data Input 1'!$F$18+V25*'Data Input 1'!$F$19+V26*'Data Input 1'!$F$20+V27*'Data Input 1'!$F$21+V28*'Data Input 1'!$F$22)/1000</f>
        <v>313677.35930417699</v>
      </c>
      <c r="W56" s="164">
        <f>(12*W9*'Data Input 1'!$F$16)+(W24*'Data Input 1'!$F$18+W25*'Data Input 1'!$F$19+W26*'Data Input 1'!$F$20+W27*'Data Input 1'!$F$21+W28*'Data Input 1'!$F$22)/1000</f>
        <v>315864.62286876363</v>
      </c>
      <c r="X56" s="164">
        <f>(12*X9*'Data Input 1'!$F$16)+(X24*'Data Input 1'!$F$18+X25*'Data Input 1'!$F$19+X26*'Data Input 1'!$F$20+X27*'Data Input 1'!$F$21+X28*'Data Input 1'!$F$22)/1000</f>
        <v>318040.81742612802</v>
      </c>
    </row>
    <row r="57" spans="1:24" x14ac:dyDescent="0.2">
      <c r="A57" s="150" t="s">
        <v>25</v>
      </c>
      <c r="B57" s="154"/>
      <c r="C57" s="164">
        <f>(12*C11*'Data Input 1'!$N$8)+(C32*'Data Input 1'!$N$10+C33*'Data Input 1'!$N$11+C34*'Data Input 1'!$N$12+C35*'Data Input 1'!$N$13+C36*'Data Input 1'!$N$14)/1000</f>
        <v>202536</v>
      </c>
      <c r="D57" s="164">
        <f>(12*D11*'Data Input 1'!$N$8)+(D32*'Data Input 1'!$N$10+D33*'Data Input 1'!$N$11+D34*'Data Input 1'!$N$12+D35*'Data Input 1'!$N$13+D36*'Data Input 1'!$N$14)/1000</f>
        <v>202536</v>
      </c>
      <c r="E57" s="164">
        <f>(12*E11*'Data Input 1'!$N$8)+(E32*'Data Input 1'!$N$10+E33*'Data Input 1'!$N$11+E34*'Data Input 1'!$N$12+E35*'Data Input 1'!$N$13+E36*'Data Input 1'!$N$14)/1000</f>
        <v>202536</v>
      </c>
      <c r="F57" s="164">
        <f>(12*F11*'Data Input 1'!$N$8)+(F32*'Data Input 1'!$N$10+F33*'Data Input 1'!$N$11+F34*'Data Input 1'!$N$12+F35*'Data Input 1'!$N$13+F36*'Data Input 1'!$N$14)/1000</f>
        <v>202536</v>
      </c>
      <c r="G57" s="164">
        <f>(12*G11*'Data Input 1'!$N$8)+(G32*'Data Input 1'!$N$10+G33*'Data Input 1'!$N$11+G34*'Data Input 1'!$N$12+G35*'Data Input 1'!$N$13+G36*'Data Input 1'!$N$14)/1000</f>
        <v>202536</v>
      </c>
      <c r="H57" s="164">
        <f>(12*H11*'Data Input 1'!$N$8)+(H32*'Data Input 1'!$N$10+H33*'Data Input 1'!$N$11+H34*'Data Input 1'!$N$12+H35*'Data Input 1'!$N$13+H36*'Data Input 1'!$N$14)/1000</f>
        <v>202536</v>
      </c>
      <c r="I57" s="164">
        <f>(12*I11*'Data Input 1'!$N$8)+(I32*'Data Input 1'!$N$10+I33*'Data Input 1'!$N$11+I34*'Data Input 1'!$N$12+I35*'Data Input 1'!$N$13+I36*'Data Input 1'!$N$14)/1000</f>
        <v>202536</v>
      </c>
      <c r="J57" s="164">
        <f>(12*J11*'Data Input 1'!$N$8)+(J32*'Data Input 1'!$N$10+J33*'Data Input 1'!$N$11+J34*'Data Input 1'!$N$12+J35*'Data Input 1'!$N$13+J36*'Data Input 1'!$N$14)/1000</f>
        <v>202536</v>
      </c>
      <c r="K57" s="164">
        <f>(12*K11*'Data Input 1'!$N$8)+(K32*'Data Input 1'!$N$10+K33*'Data Input 1'!$N$11+K34*'Data Input 1'!$N$12+K35*'Data Input 1'!$N$13+K36*'Data Input 1'!$N$14)/1000</f>
        <v>202536</v>
      </c>
      <c r="L57" s="164">
        <f>(12*L11*'Data Input 1'!$N$8)+(L32*'Data Input 1'!$N$10+L33*'Data Input 1'!$N$11+L34*'Data Input 1'!$N$12+L35*'Data Input 1'!$N$13+L36*'Data Input 1'!$N$14)/1000</f>
        <v>202536</v>
      </c>
      <c r="M57" s="164">
        <f>(12*M11*'Data Input 1'!$N$8)+(M32*'Data Input 1'!$N$10+M33*'Data Input 1'!$N$11+M34*'Data Input 1'!$N$12+M35*'Data Input 1'!$N$13+M36*'Data Input 1'!$N$14)/1000</f>
        <v>202536</v>
      </c>
      <c r="N57" s="164">
        <f>(12*N11*'Data Input 1'!$N$8)+(N32*'Data Input 1'!$N$10+N33*'Data Input 1'!$N$11+N34*'Data Input 1'!$N$12+N35*'Data Input 1'!$N$13+N36*'Data Input 1'!$N$14)/1000</f>
        <v>202536</v>
      </c>
      <c r="O57" s="164">
        <f>(12*O11*'Data Input 1'!$N$8)+(O32*'Data Input 1'!$N$10+O33*'Data Input 1'!$N$11+O34*'Data Input 1'!$N$12+O35*'Data Input 1'!$N$13+O36*'Data Input 1'!$N$14)/1000</f>
        <v>202536</v>
      </c>
      <c r="P57" s="164">
        <f>(12*P11*'Data Input 1'!$N$8)+(P32*'Data Input 1'!$N$10+P33*'Data Input 1'!$N$11+P34*'Data Input 1'!$N$12+P35*'Data Input 1'!$N$13+P36*'Data Input 1'!$N$14)/1000</f>
        <v>202536</v>
      </c>
      <c r="Q57" s="164">
        <f>(12*Q11*'Data Input 1'!$N$8)+(Q32*'Data Input 1'!$N$10+Q33*'Data Input 1'!$N$11+Q34*'Data Input 1'!$N$12+Q35*'Data Input 1'!$N$13+Q36*'Data Input 1'!$N$14)/1000</f>
        <v>202536</v>
      </c>
      <c r="R57" s="164">
        <f>(12*R11*'Data Input 1'!$N$8)+(R32*'Data Input 1'!$N$10+R33*'Data Input 1'!$N$11+R34*'Data Input 1'!$N$12+R35*'Data Input 1'!$N$13+R36*'Data Input 1'!$N$14)/1000</f>
        <v>202536</v>
      </c>
      <c r="S57" s="164">
        <f>(12*S11*'Data Input 1'!$N$8)+(S32*'Data Input 1'!$N$10+S33*'Data Input 1'!$N$11+S34*'Data Input 1'!$N$12+S35*'Data Input 1'!$N$13+S36*'Data Input 1'!$N$14)/1000</f>
        <v>202536</v>
      </c>
      <c r="T57" s="164">
        <f>(12*T11*'Data Input 1'!$N$8)+(T32*'Data Input 1'!$N$10+T33*'Data Input 1'!$N$11+T34*'Data Input 1'!$N$12+T35*'Data Input 1'!$N$13+T36*'Data Input 1'!$N$14)/1000</f>
        <v>202536</v>
      </c>
      <c r="U57" s="164">
        <f>(12*U11*'Data Input 1'!$N$8)+(U32*'Data Input 1'!$N$10+U33*'Data Input 1'!$N$11+U34*'Data Input 1'!$N$12+U35*'Data Input 1'!$N$13+U36*'Data Input 1'!$N$14)/1000</f>
        <v>202536</v>
      </c>
      <c r="V57" s="164">
        <f>(12*V11*'Data Input 1'!$N$8)+(V32*'Data Input 1'!$N$10+V33*'Data Input 1'!$N$11+V34*'Data Input 1'!$N$12+V35*'Data Input 1'!$N$13+V36*'Data Input 1'!$N$14)/1000</f>
        <v>202536</v>
      </c>
      <c r="W57" s="164">
        <f>(12*W11*'Data Input 1'!$N$8)+(W32*'Data Input 1'!$N$10+W33*'Data Input 1'!$N$11+W34*'Data Input 1'!$N$12+W35*'Data Input 1'!$N$13+W36*'Data Input 1'!$N$14)/1000</f>
        <v>202536</v>
      </c>
      <c r="X57" s="164">
        <f>(12*X11*'Data Input 1'!$N$8)+(X32*'Data Input 1'!$N$10+X33*'Data Input 1'!$N$11+X34*'Data Input 1'!$N$12+X35*'Data Input 1'!$N$13+X36*'Data Input 1'!$N$14)/1000</f>
        <v>202536</v>
      </c>
    </row>
    <row r="58" spans="1:24" x14ac:dyDescent="0.2">
      <c r="A58" s="150" t="s">
        <v>66</v>
      </c>
      <c r="B58" s="154"/>
      <c r="C58" s="164">
        <f>(12*C12*'Data Input 1'!$N$16)+(C39*'Data Input 1'!$N$18+C40*'Data Input 1'!$N$19+C41*'Data Input 1'!$N$20+C42*'Data Input 1'!$N$21+C43*'Data Input 1'!$N$22)/1000</f>
        <v>82934.399999999994</v>
      </c>
      <c r="D58" s="164">
        <f>(12*D12*'Data Input 1'!$N$16)+(D39*'Data Input 1'!$N$18+D40*'Data Input 1'!$N$19+D41*'Data Input 1'!$N$20+D42*'Data Input 1'!$N$21+D43*'Data Input 1'!$N$22)/1000</f>
        <v>82934.399999999994</v>
      </c>
      <c r="E58" s="164">
        <f>(12*E12*'Data Input 1'!$N$16)+(E39*'Data Input 1'!$N$18+E40*'Data Input 1'!$N$19+E41*'Data Input 1'!$N$20+E42*'Data Input 1'!$N$21+E43*'Data Input 1'!$N$22)/1000</f>
        <v>82934.399999999994</v>
      </c>
      <c r="F58" s="164">
        <f>(12*F12*'Data Input 1'!$N$16)+(F39*'Data Input 1'!$N$18+F40*'Data Input 1'!$N$19+F41*'Data Input 1'!$N$20+F42*'Data Input 1'!$N$21+F43*'Data Input 1'!$N$22)/1000</f>
        <v>82934.399999999994</v>
      </c>
      <c r="G58" s="164">
        <f>(12*G12*'Data Input 1'!$N$16)+(G39*'Data Input 1'!$N$18+G40*'Data Input 1'!$N$19+G41*'Data Input 1'!$N$20+G42*'Data Input 1'!$N$21+G43*'Data Input 1'!$N$22)/1000</f>
        <v>82934.399999999994</v>
      </c>
      <c r="H58" s="164">
        <f>(12*H12*'Data Input 1'!$N$16)+(H39*'Data Input 1'!$N$18+H40*'Data Input 1'!$N$19+H41*'Data Input 1'!$N$20+H42*'Data Input 1'!$N$21+H43*'Data Input 1'!$N$22)/1000</f>
        <v>82934.399999999994</v>
      </c>
      <c r="I58" s="164">
        <f>(12*I12*'Data Input 1'!$N$16)+(I39*'Data Input 1'!$N$18+I40*'Data Input 1'!$N$19+I41*'Data Input 1'!$N$20+I42*'Data Input 1'!$N$21+I43*'Data Input 1'!$N$22)/1000</f>
        <v>82934.399999999994</v>
      </c>
      <c r="J58" s="164">
        <f>(12*J12*'Data Input 1'!$N$16)+(J39*'Data Input 1'!$N$18+J40*'Data Input 1'!$N$19+J41*'Data Input 1'!$N$20+J42*'Data Input 1'!$N$21+J43*'Data Input 1'!$N$22)/1000</f>
        <v>82934.399999999994</v>
      </c>
      <c r="K58" s="164">
        <f>(12*K12*'Data Input 1'!$N$16)+(K39*'Data Input 1'!$N$18+K40*'Data Input 1'!$N$19+K41*'Data Input 1'!$N$20+K42*'Data Input 1'!$N$21+K43*'Data Input 1'!$N$22)/1000</f>
        <v>82934.399999999994</v>
      </c>
      <c r="L58" s="164">
        <f>(12*L12*'Data Input 1'!$N$16)+(L39*'Data Input 1'!$N$18+L40*'Data Input 1'!$N$19+L41*'Data Input 1'!$N$20+L42*'Data Input 1'!$N$21+L43*'Data Input 1'!$N$22)/1000</f>
        <v>82934.399999999994</v>
      </c>
      <c r="M58" s="164">
        <f>(12*M12*'Data Input 1'!$N$16)+(M39*'Data Input 1'!$N$18+M40*'Data Input 1'!$N$19+M41*'Data Input 1'!$N$20+M42*'Data Input 1'!$N$21+M43*'Data Input 1'!$N$22)/1000</f>
        <v>82934.399999999994</v>
      </c>
      <c r="N58" s="164">
        <f>(12*N12*'Data Input 1'!$N$16)+(N39*'Data Input 1'!$N$18+N40*'Data Input 1'!$N$19+N41*'Data Input 1'!$N$20+N42*'Data Input 1'!$N$21+N43*'Data Input 1'!$N$22)/1000</f>
        <v>82934.399999999994</v>
      </c>
      <c r="O58" s="164">
        <f>(12*O12*'Data Input 1'!$N$16)+(O39*'Data Input 1'!$N$18+O40*'Data Input 1'!$N$19+O41*'Data Input 1'!$N$20+O42*'Data Input 1'!$N$21+O43*'Data Input 1'!$N$22)/1000</f>
        <v>82934.399999999994</v>
      </c>
      <c r="P58" s="164">
        <f>(12*P12*'Data Input 1'!$N$16)+(P39*'Data Input 1'!$N$18+P40*'Data Input 1'!$N$19+P41*'Data Input 1'!$N$20+P42*'Data Input 1'!$N$21+P43*'Data Input 1'!$N$22)/1000</f>
        <v>82934.399999999994</v>
      </c>
      <c r="Q58" s="164">
        <f>(12*Q12*'Data Input 1'!$N$16)+(Q39*'Data Input 1'!$N$18+Q40*'Data Input 1'!$N$19+Q41*'Data Input 1'!$N$20+Q42*'Data Input 1'!$N$21+Q43*'Data Input 1'!$N$22)/1000</f>
        <v>82934.399999999994</v>
      </c>
      <c r="R58" s="164">
        <f>(12*R12*'Data Input 1'!$N$16)+(R39*'Data Input 1'!$N$18+R40*'Data Input 1'!$N$19+R41*'Data Input 1'!$N$20+R42*'Data Input 1'!$N$21+R43*'Data Input 1'!$N$22)/1000</f>
        <v>82934.399999999994</v>
      </c>
      <c r="S58" s="164">
        <f>(12*S12*'Data Input 1'!$N$16)+(S39*'Data Input 1'!$N$18+S40*'Data Input 1'!$N$19+S41*'Data Input 1'!$N$20+S42*'Data Input 1'!$N$21+S43*'Data Input 1'!$N$22)/1000</f>
        <v>82934.399999999994</v>
      </c>
      <c r="T58" s="164">
        <f>(12*T12*'Data Input 1'!$N$16)+(T39*'Data Input 1'!$N$18+T40*'Data Input 1'!$N$19+T41*'Data Input 1'!$N$20+T42*'Data Input 1'!$N$21+T43*'Data Input 1'!$N$22)/1000</f>
        <v>82934.399999999994</v>
      </c>
      <c r="U58" s="164">
        <f>(12*U12*'Data Input 1'!$N$16)+(U39*'Data Input 1'!$N$18+U40*'Data Input 1'!$N$19+U41*'Data Input 1'!$N$20+U42*'Data Input 1'!$N$21+U43*'Data Input 1'!$N$22)/1000</f>
        <v>82934.399999999994</v>
      </c>
      <c r="V58" s="164">
        <f>(12*V12*'Data Input 1'!$N$16)+(V39*'Data Input 1'!$N$18+V40*'Data Input 1'!$N$19+V41*'Data Input 1'!$N$20+V42*'Data Input 1'!$N$21+V43*'Data Input 1'!$N$22)/1000</f>
        <v>82934.399999999994</v>
      </c>
      <c r="W58" s="164">
        <f>(12*W12*'Data Input 1'!$N$16)+(W39*'Data Input 1'!$N$18+W40*'Data Input 1'!$N$19+W41*'Data Input 1'!$N$20+W42*'Data Input 1'!$N$21+W43*'Data Input 1'!$N$22)/1000</f>
        <v>82934.399999999994</v>
      </c>
      <c r="X58" s="164">
        <f>(12*X12*'Data Input 1'!$N$16)+(X39*'Data Input 1'!$N$18+X40*'Data Input 1'!$N$19+X41*'Data Input 1'!$N$20+X42*'Data Input 1'!$N$21+X43*'Data Input 1'!$N$22)/1000</f>
        <v>82934.399999999994</v>
      </c>
    </row>
    <row r="59" spans="1:24" x14ac:dyDescent="0.2">
      <c r="A59" s="150" t="s">
        <v>27</v>
      </c>
      <c r="B59" s="154"/>
      <c r="C59" s="164">
        <f>(12*C14*'Data Input 1'!$F$27)+(C47*'Data Input 1'!$F$29+C48*'Data Input 1'!$F$30+C49*'Data Input 1'!$F$31+C50*'Data Input 1'!$F$32+C51*'Data Input 1'!$F$33)/1000</f>
        <v>43200</v>
      </c>
      <c r="D59" s="164">
        <f>(12*D14*'Data Input 1'!$F$27)+(D47*'Data Input 1'!$F$29+D48*'Data Input 1'!$F$30+D49*'Data Input 1'!$F$31+D50*'Data Input 1'!$F$32+D51*'Data Input 1'!$F$33)/1000</f>
        <v>43378.559999999998</v>
      </c>
      <c r="E59" s="164">
        <f>(12*E14*'Data Input 1'!$F$27)+(E47*'Data Input 1'!$F$29+E48*'Data Input 1'!$F$30+E49*'Data Input 1'!$F$31+E50*'Data Input 1'!$F$32+E51*'Data Input 1'!$F$33)/1000</f>
        <v>43544.217600000004</v>
      </c>
      <c r="F59" s="164">
        <f>(12*F14*'Data Input 1'!$F$27)+(F47*'Data Input 1'!$F$29+F48*'Data Input 1'!$F$30+F49*'Data Input 1'!$F$31+F50*'Data Input 1'!$F$32+F51*'Data Input 1'!$F$33)/1000</f>
        <v>43697.494271999996</v>
      </c>
      <c r="G59" s="164">
        <f>(12*G14*'Data Input 1'!$F$27)+(G47*'Data Input 1'!$F$29+G48*'Data Input 1'!$F$30+G49*'Data Input 1'!$F$31+G50*'Data Input 1'!$F$32+G51*'Data Input 1'!$F$33)/1000</f>
        <v>43838.895790080001</v>
      </c>
      <c r="H59" s="164">
        <f>(12*H14*'Data Input 1'!$F$27)+(H47*'Data Input 1'!$F$29+H48*'Data Input 1'!$F$30+H49*'Data Input 1'!$F$31+H50*'Data Input 1'!$F$32+H51*'Data Input 1'!$F$33)/1000</f>
        <v>43968.912649728001</v>
      </c>
      <c r="I59" s="164">
        <f>(12*I14*'Data Input 1'!$F$27)+(I47*'Data Input 1'!$F$29+I48*'Data Input 1'!$F$30+I49*'Data Input 1'!$F$31+I50*'Data Input 1'!$F$32+I51*'Data Input 1'!$F$33)/1000</f>
        <v>44088.02047667405</v>
      </c>
      <c r="J59" s="164">
        <f>(12*J14*'Data Input 1'!$F$27)+(J47*'Data Input 1'!$F$29+J48*'Data Input 1'!$F$30+J49*'Data Input 1'!$F$31+J50*'Data Input 1'!$F$32+J51*'Data Input 1'!$F$33)/1000</f>
        <v>44196.680425482366</v>
      </c>
      <c r="K59" s="164">
        <f>(12*K14*'Data Input 1'!$F$27)+(K47*'Data Input 1'!$F$29+K48*'Data Input 1'!$F$30+K49*'Data Input 1'!$F$31+K50*'Data Input 1'!$F$32+K51*'Data Input 1'!$F$33)/1000</f>
        <v>44295.339568147676</v>
      </c>
      <c r="L59" s="164">
        <f>(12*L14*'Data Input 1'!$F$27)+(L47*'Data Input 1'!$F$29+L48*'Data Input 1'!$F$30+L49*'Data Input 1'!$F$31+L50*'Data Input 1'!$F$32+L51*'Data Input 1'!$F$33)/1000</f>
        <v>44384.431272936185</v>
      </c>
      <c r="M59" s="164">
        <f>(12*M14*'Data Input 1'!$F$27)+(M47*'Data Input 1'!$F$29+M48*'Data Input 1'!$F$30+M49*'Data Input 1'!$F$31+M50*'Data Input 1'!$F$32+M51*'Data Input 1'!$F$33)/1000</f>
        <v>44464.375573705896</v>
      </c>
      <c r="N59" s="164">
        <f>(12*N14*'Data Input 1'!$F$27)+(N47*'Data Input 1'!$F$29+N48*'Data Input 1'!$F$30+N49*'Data Input 1'!$F$31+N50*'Data Input 1'!$F$32+N51*'Data Input 1'!$F$33)/1000</f>
        <v>44535.57952993564</v>
      </c>
      <c r="O59" s="164">
        <f>(12*O14*'Data Input 1'!$F$27)+(O47*'Data Input 1'!$F$29+O48*'Data Input 1'!$F$30+O49*'Data Input 1'!$F$31+O50*'Data Input 1'!$F$32+O51*'Data Input 1'!$F$33)/1000</f>
        <v>44598.437577686716</v>
      </c>
      <c r="P59" s="164">
        <f>(12*P14*'Data Input 1'!$F$27)+(P47*'Data Input 1'!$F$29+P48*'Data Input 1'!$F$30+P49*'Data Input 1'!$F$31+P50*'Data Input 1'!$F$32+P51*'Data Input 1'!$F$33)/1000</f>
        <v>44653.331871715782</v>
      </c>
      <c r="Q59" s="164">
        <f>(12*Q14*'Data Input 1'!$F$27)+(Q47*'Data Input 1'!$F$29+Q48*'Data Input 1'!$F$30+Q49*'Data Input 1'!$F$31+Q50*'Data Input 1'!$F$32+Q51*'Data Input 1'!$F$33)/1000</f>
        <v>44700.632618952601</v>
      </c>
      <c r="R59" s="164">
        <f>(12*R14*'Data Input 1'!$F$27)+(R47*'Data Input 1'!$F$29+R48*'Data Input 1'!$F$30+R49*'Data Input 1'!$F$31+R50*'Data Input 1'!$F$32+R51*'Data Input 1'!$F$33)/1000</f>
        <v>44740.698403551258</v>
      </c>
      <c r="S59" s="164">
        <f>(12*S14*'Data Input 1'!$F$27)+(S47*'Data Input 1'!$F$29+S48*'Data Input 1'!$F$30+S49*'Data Input 1'!$F$31+S50*'Data Input 1'!$F$32+S51*'Data Input 1'!$F$33)/1000</f>
        <v>44773.876503718398</v>
      </c>
      <c r="T59" s="164">
        <f>(12*T14*'Data Input 1'!$F$27)+(T47*'Data Input 1'!$F$29+T48*'Data Input 1'!$F$30+T49*'Data Input 1'!$F$31+T50*'Data Input 1'!$F$32+T51*'Data Input 1'!$F$33)/1000</f>
        <v>44800.503200517429</v>
      </c>
      <c r="U59" s="164">
        <f>(12*U14*'Data Input 1'!$F$27)+(U47*'Data Input 1'!$F$29+U48*'Data Input 1'!$F$30+U49*'Data Input 1'!$F$31+U50*'Data Input 1'!$F$32+U51*'Data Input 1'!$F$33)/1000</f>
        <v>44820.904078843007</v>
      </c>
      <c r="V59" s="164">
        <f>(12*V14*'Data Input 1'!$F$27)+(V47*'Data Input 1'!$F$29+V48*'Data Input 1'!$F$30+V49*'Data Input 1'!$F$31+V50*'Data Input 1'!$F$32+V51*'Data Input 1'!$F$33)/1000</f>
        <v>44835.394320755353</v>
      </c>
      <c r="W59" s="164">
        <f>(12*W14*'Data Input 1'!$F$27)+(W47*'Data Input 1'!$F$29+W48*'Data Input 1'!$F$30+W49*'Data Input 1'!$F$31+W50*'Data Input 1'!$F$32+W51*'Data Input 1'!$F$33)/1000</f>
        <v>44844.278991359672</v>
      </c>
      <c r="X59" s="164">
        <f>(12*X14*'Data Input 1'!$F$27)+(X47*'Data Input 1'!$F$29+X48*'Data Input 1'!$F$30+X49*'Data Input 1'!$F$31+X50*'Data Input 1'!$F$32+X51*'Data Input 1'!$F$33)/1000</f>
        <v>44847.853317411515</v>
      </c>
    </row>
    <row r="60" spans="1:24" x14ac:dyDescent="0.2">
      <c r="A60" s="159" t="s">
        <v>67</v>
      </c>
      <c r="B60" s="154"/>
      <c r="C60" s="165">
        <f>SUM(C55:C59)</f>
        <v>931070.4</v>
      </c>
      <c r="D60" s="165">
        <f t="shared" ref="D60:X60" si="64">SUM(D55:D59)</f>
        <v>934873.2</v>
      </c>
      <c r="E60" s="165">
        <f t="shared" si="64"/>
        <v>938639.81279999996</v>
      </c>
      <c r="F60" s="165">
        <f t="shared" si="64"/>
        <v>942371.22794400016</v>
      </c>
      <c r="G60" s="165">
        <f t="shared" si="64"/>
        <v>946068.41224511992</v>
      </c>
      <c r="H60" s="165">
        <f t="shared" si="64"/>
        <v>949732.31029877998</v>
      </c>
      <c r="I60" s="165">
        <f t="shared" si="64"/>
        <v>953680.12036393327</v>
      </c>
      <c r="J60" s="165">
        <f t="shared" si="64"/>
        <v>957593.98320641974</v>
      </c>
      <c r="K60" s="165">
        <f t="shared" si="64"/>
        <v>961812.61931456532</v>
      </c>
      <c r="L60" s="165">
        <f t="shared" si="64"/>
        <v>965996.68775524641</v>
      </c>
      <c r="M60" s="165">
        <f t="shared" si="64"/>
        <v>970147.10216921626</v>
      </c>
      <c r="N60" s="165">
        <f t="shared" si="64"/>
        <v>974264.75585073396</v>
      </c>
      <c r="O60" s="165">
        <f t="shared" si="64"/>
        <v>978350.52219660778</v>
      </c>
      <c r="P60" s="165">
        <f t="shared" si="64"/>
        <v>982405.25514516467</v>
      </c>
      <c r="Q60" s="165">
        <f t="shared" si="64"/>
        <v>986429.78960537724</v>
      </c>
      <c r="R60" s="165">
        <f t="shared" si="64"/>
        <v>990424.94187636464</v>
      </c>
      <c r="S60" s="165">
        <f t="shared" si="64"/>
        <v>994695.90248327865</v>
      </c>
      <c r="T60" s="165">
        <f t="shared" si="64"/>
        <v>998936.81145234231</v>
      </c>
      <c r="U60" s="165">
        <f t="shared" si="64"/>
        <v>1003148.4653948892</v>
      </c>
      <c r="V60" s="165">
        <f t="shared" si="64"/>
        <v>1007656.6977072598</v>
      </c>
      <c r="W60" s="165">
        <f t="shared" si="64"/>
        <v>1012135.0350907814</v>
      </c>
      <c r="X60" s="165">
        <f t="shared" si="64"/>
        <v>1016584.2555851536</v>
      </c>
    </row>
    <row r="61" spans="1:24" x14ac:dyDescent="0.2">
      <c r="A61" s="166"/>
      <c r="B61" s="167"/>
      <c r="C61" s="168"/>
      <c r="D61" s="169"/>
      <c r="E61" s="170"/>
      <c r="F61" s="170"/>
      <c r="G61" s="170"/>
      <c r="H61" s="170"/>
      <c r="I61" s="170"/>
      <c r="J61" s="170"/>
      <c r="K61" s="170"/>
      <c r="L61" s="170"/>
      <c r="M61" s="170"/>
      <c r="N61" s="170"/>
      <c r="O61" s="171"/>
      <c r="P61" s="171"/>
      <c r="Q61" s="171"/>
      <c r="R61" s="171"/>
      <c r="S61" s="171"/>
      <c r="T61" s="171"/>
      <c r="U61" s="171"/>
      <c r="V61" s="171"/>
      <c r="W61" s="171"/>
      <c r="X61" s="171"/>
    </row>
    <row r="62" spans="1:24" x14ac:dyDescent="0.2">
      <c r="A62" s="172" t="s">
        <v>15</v>
      </c>
      <c r="B62" s="173">
        <f>'Data Input 1'!F38</f>
        <v>2000</v>
      </c>
      <c r="C62" s="165">
        <f>IF(((C9-ROUND((C9/(1+'Data Input 1'!$O$28)),0))+(C12-ROUND((C12/(1+'Data Input 1'!$O$31)),0)))&lt;=0,0,((C9-ROUND((C9/(1+'Data Input 1'!$O$28)),0))+(C12-ROUND((C12/(1+'Data Input 1'!$O$31)),0)))*$B$62)</f>
        <v>16000</v>
      </c>
      <c r="D62" s="168">
        <f>IF(D12-C12+D9-C9&lt;=0,0,(D12-C12+D9-C9)*$B$62)</f>
        <v>16000</v>
      </c>
      <c r="E62" s="168">
        <f t="shared" ref="E62:X62" si="65">IF(E12-D12+E9-D9&lt;=0,0,(E12-D12+E9-D9)*$B$62)</f>
        <v>16000</v>
      </c>
      <c r="F62" s="168">
        <f t="shared" si="65"/>
        <v>16000</v>
      </c>
      <c r="G62" s="168">
        <f t="shared" si="65"/>
        <v>16000</v>
      </c>
      <c r="H62" s="168">
        <f t="shared" si="65"/>
        <v>16000</v>
      </c>
      <c r="I62" s="168">
        <f t="shared" si="65"/>
        <v>16000</v>
      </c>
      <c r="J62" s="168">
        <f t="shared" si="65"/>
        <v>16000</v>
      </c>
      <c r="K62" s="168">
        <f t="shared" si="65"/>
        <v>18000</v>
      </c>
      <c r="L62" s="168">
        <f t="shared" si="65"/>
        <v>18000</v>
      </c>
      <c r="M62" s="168">
        <f t="shared" si="65"/>
        <v>18000</v>
      </c>
      <c r="N62" s="168">
        <f t="shared" si="65"/>
        <v>18000</v>
      </c>
      <c r="O62" s="168">
        <f t="shared" si="65"/>
        <v>18000</v>
      </c>
      <c r="P62" s="168">
        <f t="shared" si="65"/>
        <v>18000</v>
      </c>
      <c r="Q62" s="168">
        <f t="shared" si="65"/>
        <v>18000</v>
      </c>
      <c r="R62" s="168">
        <f t="shared" si="65"/>
        <v>18000</v>
      </c>
      <c r="S62" s="168">
        <f t="shared" si="65"/>
        <v>18000</v>
      </c>
      <c r="T62" s="168">
        <f t="shared" si="65"/>
        <v>18000</v>
      </c>
      <c r="U62" s="168">
        <f t="shared" si="65"/>
        <v>18000</v>
      </c>
      <c r="V62" s="168">
        <f t="shared" si="65"/>
        <v>20000</v>
      </c>
      <c r="W62" s="168">
        <f t="shared" si="65"/>
        <v>20000</v>
      </c>
      <c r="X62" s="168">
        <f t="shared" si="65"/>
        <v>20000</v>
      </c>
    </row>
    <row r="63" spans="1:24" x14ac:dyDescent="0.2">
      <c r="A63" s="172" t="s">
        <v>16</v>
      </c>
      <c r="B63" s="173">
        <f>'Data Input 1'!F39</f>
        <v>500</v>
      </c>
      <c r="C63" s="165">
        <f>IF(((C8-ROUND((C8/(1+'Data Input 1'!$O$27)),0))+(C11-ROUND((C11/(1+'Data Input 1'!$O$30)),0)))&lt;=0,0,((C8-ROUND((C8/(1+'Data Input 1'!$O$27)),0))+(C11-ROUND((C11/(1+'Data Input 1'!$O$30)),0)))*$B$63)</f>
        <v>5000</v>
      </c>
      <c r="D63" s="168">
        <f>IF(D8-C8+D11-C11&lt;=0,0,(D8-C8+D11-C11)*$B$63)</f>
        <v>5000</v>
      </c>
      <c r="E63" s="168">
        <f t="shared" ref="E63:X63" si="66">IF(E8-D8+E11-D11&lt;=0,0,(E8-D8+E11-D11)*$B$63)</f>
        <v>5000</v>
      </c>
      <c r="F63" s="168">
        <f t="shared" si="66"/>
        <v>5000</v>
      </c>
      <c r="G63" s="168">
        <f t="shared" si="66"/>
        <v>5000</v>
      </c>
      <c r="H63" s="168">
        <f t="shared" si="66"/>
        <v>5000</v>
      </c>
      <c r="I63" s="168">
        <f t="shared" si="66"/>
        <v>5500</v>
      </c>
      <c r="J63" s="168">
        <f t="shared" si="66"/>
        <v>5500</v>
      </c>
      <c r="K63" s="168">
        <f t="shared" si="66"/>
        <v>5500</v>
      </c>
      <c r="L63" s="168">
        <f t="shared" si="66"/>
        <v>5500</v>
      </c>
      <c r="M63" s="168">
        <f t="shared" si="66"/>
        <v>5500</v>
      </c>
      <c r="N63" s="168">
        <f t="shared" si="66"/>
        <v>5500</v>
      </c>
      <c r="O63" s="168">
        <f t="shared" si="66"/>
        <v>5500</v>
      </c>
      <c r="P63" s="168">
        <f t="shared" si="66"/>
        <v>5500</v>
      </c>
      <c r="Q63" s="168">
        <f t="shared" si="66"/>
        <v>5500</v>
      </c>
      <c r="R63" s="168">
        <f t="shared" si="66"/>
        <v>5500</v>
      </c>
      <c r="S63" s="168">
        <f t="shared" si="66"/>
        <v>6000</v>
      </c>
      <c r="T63" s="168">
        <f t="shared" si="66"/>
        <v>6000</v>
      </c>
      <c r="U63" s="168">
        <f t="shared" si="66"/>
        <v>6000</v>
      </c>
      <c r="V63" s="168">
        <f t="shared" si="66"/>
        <v>6000</v>
      </c>
      <c r="W63" s="168">
        <f t="shared" si="66"/>
        <v>6000</v>
      </c>
      <c r="X63" s="168">
        <f t="shared" si="66"/>
        <v>6000</v>
      </c>
    </row>
    <row r="64" spans="1:24" s="140" customFormat="1" x14ac:dyDescent="0.2">
      <c r="A64" s="166" t="s">
        <v>31</v>
      </c>
      <c r="B64" s="173">
        <f>'Data Input 1'!F40</f>
        <v>2200</v>
      </c>
      <c r="C64" s="165">
        <f>IF((C14-ROUND((C14/(1+'Data Input 1'!$O$33)),0))&lt;=0,0,(C14-ROUND((C14/(1+'Data Input 1'!$O$33)),0))*$B$64)</f>
        <v>0</v>
      </c>
      <c r="D64" s="168">
        <f>IF(D14-C14&lt;=0,0,(D14-C14)*$B$64)</f>
        <v>2200</v>
      </c>
      <c r="E64" s="168">
        <f t="shared" ref="E64:W64" si="67">IF(E14-D14&lt;=0,0,(E14-D14)*$B$64)</f>
        <v>2200</v>
      </c>
      <c r="F64" s="168">
        <f t="shared" si="67"/>
        <v>2200</v>
      </c>
      <c r="G64" s="168">
        <f t="shared" si="67"/>
        <v>2200</v>
      </c>
      <c r="H64" s="168">
        <f t="shared" si="67"/>
        <v>2200</v>
      </c>
      <c r="I64" s="168">
        <f t="shared" si="67"/>
        <v>2200</v>
      </c>
      <c r="J64" s="168">
        <f t="shared" si="67"/>
        <v>2200</v>
      </c>
      <c r="K64" s="168">
        <f t="shared" si="67"/>
        <v>2200</v>
      </c>
      <c r="L64" s="168">
        <f t="shared" si="67"/>
        <v>2200</v>
      </c>
      <c r="M64" s="168">
        <f t="shared" si="67"/>
        <v>2200</v>
      </c>
      <c r="N64" s="168">
        <f t="shared" si="67"/>
        <v>2200</v>
      </c>
      <c r="O64" s="168">
        <f t="shared" si="67"/>
        <v>2200</v>
      </c>
      <c r="P64" s="168">
        <f t="shared" si="67"/>
        <v>2200</v>
      </c>
      <c r="Q64" s="168">
        <f t="shared" si="67"/>
        <v>2200</v>
      </c>
      <c r="R64" s="168">
        <f t="shared" si="67"/>
        <v>2200</v>
      </c>
      <c r="S64" s="168">
        <f t="shared" si="67"/>
        <v>2200</v>
      </c>
      <c r="T64" s="168">
        <f t="shared" si="67"/>
        <v>2200</v>
      </c>
      <c r="U64" s="168">
        <f t="shared" si="67"/>
        <v>2200</v>
      </c>
      <c r="V64" s="168">
        <f t="shared" si="67"/>
        <v>2200</v>
      </c>
      <c r="W64" s="168">
        <f t="shared" si="67"/>
        <v>2200</v>
      </c>
      <c r="X64" s="168">
        <f>IF(X14-W14&lt;=0,0,(X14-W14)*$B$64)</f>
        <v>2200</v>
      </c>
    </row>
    <row r="65" spans="1:24" s="140" customFormat="1" x14ac:dyDescent="0.2">
      <c r="A65" s="166"/>
      <c r="B65" s="173"/>
      <c r="C65" s="165"/>
      <c r="D65" s="168"/>
      <c r="E65" s="168"/>
      <c r="F65" s="168"/>
      <c r="G65" s="168"/>
      <c r="H65" s="168"/>
      <c r="I65" s="168"/>
      <c r="J65" s="168"/>
      <c r="K65" s="168"/>
      <c r="L65" s="168"/>
      <c r="M65" s="168"/>
      <c r="N65" s="168"/>
      <c r="O65" s="168"/>
      <c r="P65" s="168"/>
      <c r="Q65" s="168"/>
      <c r="R65" s="168"/>
      <c r="S65" s="168"/>
      <c r="T65" s="168"/>
      <c r="U65" s="168"/>
      <c r="V65" s="168"/>
      <c r="W65" s="168"/>
      <c r="X65" s="168"/>
    </row>
    <row r="66" spans="1:24" x14ac:dyDescent="0.2">
      <c r="A66" s="174" t="s">
        <v>13</v>
      </c>
      <c r="B66" s="175">
        <f>'Data Input 1'!N38</f>
        <v>0.02</v>
      </c>
      <c r="C66" s="176">
        <f t="shared" ref="C66:X66" si="68">$B$66*C60</f>
        <v>18621.407999999999</v>
      </c>
      <c r="D66" s="176">
        <f t="shared" si="68"/>
        <v>18697.464</v>
      </c>
      <c r="E66" s="176">
        <f t="shared" si="68"/>
        <v>18772.796255999998</v>
      </c>
      <c r="F66" s="176">
        <f t="shared" si="68"/>
        <v>18847.424558880004</v>
      </c>
      <c r="G66" s="176">
        <f t="shared" si="68"/>
        <v>18921.368244902398</v>
      </c>
      <c r="H66" s="176">
        <f t="shared" si="68"/>
        <v>18994.646205975601</v>
      </c>
      <c r="I66" s="176">
        <f t="shared" si="68"/>
        <v>19073.602407278664</v>
      </c>
      <c r="J66" s="176">
        <f t="shared" si="68"/>
        <v>19151.879664128395</v>
      </c>
      <c r="K66" s="176">
        <f t="shared" si="68"/>
        <v>19236.252386291308</v>
      </c>
      <c r="L66" s="176">
        <f t="shared" si="68"/>
        <v>19319.933755104928</v>
      </c>
      <c r="M66" s="176">
        <f t="shared" si="68"/>
        <v>19402.942043384326</v>
      </c>
      <c r="N66" s="176">
        <f t="shared" si="68"/>
        <v>19485.295117014681</v>
      </c>
      <c r="O66" s="176">
        <f t="shared" si="68"/>
        <v>19567.010443932155</v>
      </c>
      <c r="P66" s="176">
        <f t="shared" si="68"/>
        <v>19648.105102903293</v>
      </c>
      <c r="Q66" s="176">
        <f t="shared" si="68"/>
        <v>19728.595792107546</v>
      </c>
      <c r="R66" s="176">
        <f t="shared" si="68"/>
        <v>19808.498837527291</v>
      </c>
      <c r="S66" s="176">
        <f t="shared" si="68"/>
        <v>19893.918049665572</v>
      </c>
      <c r="T66" s="176">
        <f t="shared" si="68"/>
        <v>19978.736229046848</v>
      </c>
      <c r="U66" s="176">
        <f t="shared" si="68"/>
        <v>20062.969307897783</v>
      </c>
      <c r="V66" s="176">
        <f t="shared" si="68"/>
        <v>20153.133954145196</v>
      </c>
      <c r="W66" s="176">
        <f t="shared" si="68"/>
        <v>20242.700701815629</v>
      </c>
      <c r="X66" s="176">
        <f t="shared" si="68"/>
        <v>20331.685111703071</v>
      </c>
    </row>
    <row r="67" spans="1:24" s="219" customFormat="1" ht="15" x14ac:dyDescent="0.25">
      <c r="A67" s="205" t="s">
        <v>14</v>
      </c>
      <c r="B67" s="182"/>
      <c r="C67" s="218">
        <f>SUM(C62:C64)+C60-C66</f>
        <v>933448.99199999997</v>
      </c>
      <c r="D67" s="218">
        <f t="shared" ref="D67:W67" si="69">SUM(D62:D64)+D60-D66</f>
        <v>939375.73599999992</v>
      </c>
      <c r="E67" s="218">
        <f t="shared" si="69"/>
        <v>943067.01654400001</v>
      </c>
      <c r="F67" s="218">
        <f t="shared" si="69"/>
        <v>946723.80338512012</v>
      </c>
      <c r="G67" s="218">
        <f t="shared" si="69"/>
        <v>950347.04400021757</v>
      </c>
      <c r="H67" s="218">
        <f t="shared" si="69"/>
        <v>953937.66409280442</v>
      </c>
      <c r="I67" s="218">
        <f t="shared" si="69"/>
        <v>958306.51795665466</v>
      </c>
      <c r="J67" s="218">
        <f t="shared" si="69"/>
        <v>962142.10354229133</v>
      </c>
      <c r="K67" s="218">
        <f t="shared" si="69"/>
        <v>968276.36692827404</v>
      </c>
      <c r="L67" s="218">
        <f t="shared" si="69"/>
        <v>972376.75400014152</v>
      </c>
      <c r="M67" s="218">
        <f t="shared" si="69"/>
        <v>976444.16012583196</v>
      </c>
      <c r="N67" s="218">
        <f t="shared" si="69"/>
        <v>980479.46073371929</v>
      </c>
      <c r="O67" s="218">
        <f t="shared" si="69"/>
        <v>984483.51175267564</v>
      </c>
      <c r="P67" s="218">
        <f t="shared" si="69"/>
        <v>988457.15004226135</v>
      </c>
      <c r="Q67" s="218">
        <f t="shared" si="69"/>
        <v>992401.19381326973</v>
      </c>
      <c r="R67" s="218">
        <f t="shared" si="69"/>
        <v>996316.4430388374</v>
      </c>
      <c r="S67" s="218">
        <f t="shared" si="69"/>
        <v>1001001.9844336131</v>
      </c>
      <c r="T67" s="218">
        <f t="shared" si="69"/>
        <v>1005158.0752232955</v>
      </c>
      <c r="U67" s="218">
        <f t="shared" si="69"/>
        <v>1009285.4960869915</v>
      </c>
      <c r="V67" s="218">
        <f t="shared" si="69"/>
        <v>1015703.5637531145</v>
      </c>
      <c r="W67" s="218">
        <f t="shared" si="69"/>
        <v>1020092.3343889657</v>
      </c>
      <c r="X67" s="218">
        <f>SUM(X62:X64)+X60-X66</f>
        <v>1024452.5704734505</v>
      </c>
    </row>
    <row r="68" spans="1:24" s="145" customFormat="1" x14ac:dyDescent="0.2">
      <c r="A68" s="181"/>
      <c r="B68" s="182"/>
      <c r="C68" s="140"/>
      <c r="D68" s="139"/>
      <c r="E68" s="139"/>
      <c r="F68" s="139"/>
      <c r="G68" s="139"/>
      <c r="H68" s="139"/>
      <c r="I68" s="139"/>
      <c r="J68" s="139"/>
      <c r="K68" s="139"/>
      <c r="L68" s="139"/>
      <c r="M68" s="139"/>
      <c r="N68" s="139"/>
      <c r="O68" s="139"/>
      <c r="P68" s="139"/>
      <c r="Q68" s="139"/>
      <c r="R68" s="139"/>
      <c r="S68" s="139"/>
      <c r="T68" s="139"/>
    </row>
    <row r="69" spans="1:24" x14ac:dyDescent="0.2">
      <c r="A69" s="155" t="s">
        <v>69</v>
      </c>
      <c r="B69" s="175">
        <f>'Data Input 2'!K27</f>
        <v>0.04</v>
      </c>
      <c r="C69" s="183"/>
      <c r="D69" s="151"/>
      <c r="E69" s="156"/>
      <c r="F69" s="156"/>
      <c r="G69" s="156"/>
      <c r="H69" s="156"/>
      <c r="I69" s="156"/>
      <c r="J69" s="156"/>
      <c r="K69" s="156"/>
      <c r="L69" s="156"/>
      <c r="M69" s="156"/>
      <c r="N69" s="156"/>
      <c r="O69" s="156"/>
      <c r="P69" s="156"/>
      <c r="Q69" s="156"/>
      <c r="R69" s="156"/>
      <c r="S69" s="156"/>
      <c r="T69" s="156"/>
    </row>
    <row r="70" spans="1:24" x14ac:dyDescent="0.2">
      <c r="A70" s="184" t="s">
        <v>2</v>
      </c>
      <c r="B70" s="144"/>
      <c r="D70" s="185"/>
      <c r="E70" s="185"/>
      <c r="F70" s="185"/>
      <c r="G70" s="185"/>
      <c r="H70" s="185"/>
      <c r="I70" s="185"/>
      <c r="J70" s="185"/>
      <c r="K70" s="185"/>
      <c r="L70" s="185"/>
      <c r="M70" s="185"/>
      <c r="N70" s="185"/>
      <c r="O70" s="185"/>
      <c r="P70" s="185"/>
      <c r="Q70" s="185"/>
      <c r="R70" s="185"/>
      <c r="S70" s="185"/>
      <c r="T70" s="185"/>
    </row>
    <row r="71" spans="1:24" x14ac:dyDescent="0.2">
      <c r="A71" s="172" t="str">
        <f>'Data Input 2'!G14</f>
        <v>Salaries and wages, including part-time and contracts</v>
      </c>
      <c r="B71" s="220">
        <f>'Data Input 2'!K14</f>
        <v>450000</v>
      </c>
      <c r="C71" s="187">
        <f>B71</f>
        <v>450000</v>
      </c>
      <c r="D71" s="164">
        <f>C71*(1+$B$69)</f>
        <v>468000</v>
      </c>
      <c r="E71" s="164">
        <f t="shared" ref="E71:W80" si="70">D71*(1+$B$69)</f>
        <v>486720</v>
      </c>
      <c r="F71" s="164">
        <f t="shared" si="70"/>
        <v>506188.79999999999</v>
      </c>
      <c r="G71" s="164">
        <f t="shared" si="70"/>
        <v>526436.35199999996</v>
      </c>
      <c r="H71" s="164">
        <f t="shared" si="70"/>
        <v>547493.80608000001</v>
      </c>
      <c r="I71" s="164">
        <f t="shared" si="70"/>
        <v>569393.55832319998</v>
      </c>
      <c r="J71" s="164">
        <f t="shared" si="70"/>
        <v>592169.30065612798</v>
      </c>
      <c r="K71" s="164">
        <f t="shared" si="70"/>
        <v>615856.07268237311</v>
      </c>
      <c r="L71" s="164">
        <f t="shared" si="70"/>
        <v>640490.31558966811</v>
      </c>
      <c r="M71" s="164">
        <f t="shared" si="70"/>
        <v>666109.9282132549</v>
      </c>
      <c r="N71" s="164">
        <f t="shared" si="70"/>
        <v>692754.32534178509</v>
      </c>
      <c r="O71" s="164">
        <f t="shared" si="70"/>
        <v>720464.49835545651</v>
      </c>
      <c r="P71" s="164">
        <f t="shared" si="70"/>
        <v>749283.07828967483</v>
      </c>
      <c r="Q71" s="164">
        <f t="shared" si="70"/>
        <v>779254.40142126183</v>
      </c>
      <c r="R71" s="164">
        <f t="shared" si="70"/>
        <v>810424.5774781123</v>
      </c>
      <c r="S71" s="164">
        <f t="shared" si="70"/>
        <v>842841.56057723681</v>
      </c>
      <c r="T71" s="164">
        <f t="shared" si="70"/>
        <v>876555.22300032631</v>
      </c>
      <c r="U71" s="164">
        <f t="shared" si="70"/>
        <v>911617.43192033935</v>
      </c>
      <c r="V71" s="164">
        <f t="shared" si="70"/>
        <v>948082.12919715291</v>
      </c>
      <c r="W71" s="164">
        <f t="shared" si="70"/>
        <v>986005.41436503909</v>
      </c>
    </row>
    <row r="72" spans="1:24" s="188" customFormat="1" x14ac:dyDescent="0.2">
      <c r="A72" s="172" t="str">
        <f>'Data Input 2'!G15</f>
        <v>Supplies</v>
      </c>
      <c r="B72" s="220">
        <f>'Data Input 2'!K15</f>
        <v>25000</v>
      </c>
      <c r="C72" s="187">
        <f t="shared" ref="C72:C81" si="71">B72</f>
        <v>25000</v>
      </c>
      <c r="D72" s="164">
        <f t="shared" ref="D72:S80" si="72">C72*(1+$B$69)</f>
        <v>26000</v>
      </c>
      <c r="E72" s="164">
        <f t="shared" si="72"/>
        <v>27040</v>
      </c>
      <c r="F72" s="164">
        <f t="shared" si="72"/>
        <v>28121.600000000002</v>
      </c>
      <c r="G72" s="164">
        <f t="shared" si="72"/>
        <v>29246.464000000004</v>
      </c>
      <c r="H72" s="164">
        <f t="shared" si="72"/>
        <v>30416.322560000004</v>
      </c>
      <c r="I72" s="164">
        <f t="shared" si="72"/>
        <v>31632.975462400005</v>
      </c>
      <c r="J72" s="164">
        <f t="shared" si="72"/>
        <v>32898.294480896009</v>
      </c>
      <c r="K72" s="164">
        <f t="shared" si="72"/>
        <v>34214.226260131851</v>
      </c>
      <c r="L72" s="164">
        <f t="shared" si="72"/>
        <v>35582.795310537127</v>
      </c>
      <c r="M72" s="164">
        <f t="shared" si="72"/>
        <v>37006.107122958616</v>
      </c>
      <c r="N72" s="164">
        <f t="shared" si="72"/>
        <v>38486.351407876959</v>
      </c>
      <c r="O72" s="164">
        <f t="shared" si="72"/>
        <v>40025.805464192039</v>
      </c>
      <c r="P72" s="164">
        <f t="shared" si="72"/>
        <v>41626.837682759724</v>
      </c>
      <c r="Q72" s="164">
        <f t="shared" si="72"/>
        <v>43291.911190070117</v>
      </c>
      <c r="R72" s="164">
        <f t="shared" si="72"/>
        <v>45023.587637672921</v>
      </c>
      <c r="S72" s="164">
        <f t="shared" si="72"/>
        <v>46824.53114317984</v>
      </c>
      <c r="T72" s="164">
        <f t="shared" si="70"/>
        <v>48697.512388907038</v>
      </c>
      <c r="U72" s="164">
        <f t="shared" si="70"/>
        <v>50645.412884463323</v>
      </c>
      <c r="V72" s="164">
        <f t="shared" si="70"/>
        <v>52671.229399841861</v>
      </c>
      <c r="W72" s="164">
        <f t="shared" si="70"/>
        <v>54778.078575835534</v>
      </c>
    </row>
    <row r="73" spans="1:24" x14ac:dyDescent="0.2">
      <c r="A73" s="172" t="str">
        <f>'Data Input 2'!G16</f>
        <v>Energy and utilities</v>
      </c>
      <c r="B73" s="220">
        <f>'Data Input 2'!K16</f>
        <v>15000</v>
      </c>
      <c r="C73" s="187">
        <f t="shared" si="71"/>
        <v>15000</v>
      </c>
      <c r="D73" s="164">
        <f t="shared" si="72"/>
        <v>15600</v>
      </c>
      <c r="E73" s="164">
        <f t="shared" si="70"/>
        <v>16224</v>
      </c>
      <c r="F73" s="164">
        <f t="shared" si="70"/>
        <v>16872.96</v>
      </c>
      <c r="G73" s="164">
        <f t="shared" si="70"/>
        <v>17547.878400000001</v>
      </c>
      <c r="H73" s="164">
        <f t="shared" si="70"/>
        <v>18249.793536000001</v>
      </c>
      <c r="I73" s="164">
        <f t="shared" si="70"/>
        <v>18979.785277440002</v>
      </c>
      <c r="J73" s="164">
        <f t="shared" si="70"/>
        <v>19738.976688537601</v>
      </c>
      <c r="K73" s="164">
        <f t="shared" si="70"/>
        <v>20528.535756079105</v>
      </c>
      <c r="L73" s="164">
        <f t="shared" si="70"/>
        <v>21349.677186322271</v>
      </c>
      <c r="M73" s="164">
        <f t="shared" si="70"/>
        <v>22203.664273775164</v>
      </c>
      <c r="N73" s="164">
        <f t="shared" si="70"/>
        <v>23091.810844726173</v>
      </c>
      <c r="O73" s="164">
        <f t="shared" si="70"/>
        <v>24015.483278515221</v>
      </c>
      <c r="P73" s="164">
        <f t="shared" si="70"/>
        <v>24976.102609655831</v>
      </c>
      <c r="Q73" s="164">
        <f t="shared" si="70"/>
        <v>25975.146714042065</v>
      </c>
      <c r="R73" s="164">
        <f t="shared" si="70"/>
        <v>27014.152582603747</v>
      </c>
      <c r="S73" s="164">
        <f t="shared" si="70"/>
        <v>28094.718685907897</v>
      </c>
      <c r="T73" s="164">
        <f t="shared" si="70"/>
        <v>29218.507433344213</v>
      </c>
      <c r="U73" s="164">
        <f t="shared" si="70"/>
        <v>30387.247730677984</v>
      </c>
      <c r="V73" s="164">
        <f t="shared" si="70"/>
        <v>31602.737639905103</v>
      </c>
      <c r="W73" s="164">
        <f t="shared" si="70"/>
        <v>32866.847145501306</v>
      </c>
    </row>
    <row r="74" spans="1:24" s="188" customFormat="1" x14ac:dyDescent="0.2">
      <c r="A74" s="172" t="str">
        <f>'Data Input 2'!G17</f>
        <v>Administrative expenses</v>
      </c>
      <c r="B74" s="220">
        <f>'Data Input 2'!K17</f>
        <v>5000</v>
      </c>
      <c r="C74" s="187">
        <f t="shared" si="71"/>
        <v>5000</v>
      </c>
      <c r="D74" s="164">
        <f t="shared" si="72"/>
        <v>5200</v>
      </c>
      <c r="E74" s="164">
        <f t="shared" si="70"/>
        <v>5408</v>
      </c>
      <c r="F74" s="164">
        <f t="shared" si="70"/>
        <v>5624.3200000000006</v>
      </c>
      <c r="G74" s="164">
        <f t="shared" si="70"/>
        <v>5849.2928000000011</v>
      </c>
      <c r="H74" s="164">
        <f t="shared" si="70"/>
        <v>6083.2645120000016</v>
      </c>
      <c r="I74" s="164">
        <f t="shared" si="70"/>
        <v>6326.5950924800018</v>
      </c>
      <c r="J74" s="164">
        <f t="shared" si="70"/>
        <v>6579.6588961792022</v>
      </c>
      <c r="K74" s="164">
        <f t="shared" si="70"/>
        <v>6842.8452520263709</v>
      </c>
      <c r="L74" s="164">
        <f t="shared" si="70"/>
        <v>7116.5590621074261</v>
      </c>
      <c r="M74" s="164">
        <f t="shared" si="70"/>
        <v>7401.221424591723</v>
      </c>
      <c r="N74" s="164">
        <f t="shared" si="70"/>
        <v>7697.2702815753919</v>
      </c>
      <c r="O74" s="164">
        <f t="shared" si="70"/>
        <v>8005.161092838408</v>
      </c>
      <c r="P74" s="164">
        <f t="shared" si="70"/>
        <v>8325.3675365519448</v>
      </c>
      <c r="Q74" s="164">
        <f t="shared" si="70"/>
        <v>8658.3822380140227</v>
      </c>
      <c r="R74" s="164">
        <f t="shared" si="70"/>
        <v>9004.7175275345835</v>
      </c>
      <c r="S74" s="164">
        <f t="shared" si="70"/>
        <v>9364.9062286359676</v>
      </c>
      <c r="T74" s="164">
        <f t="shared" si="70"/>
        <v>9739.5024777814069</v>
      </c>
      <c r="U74" s="164">
        <f t="shared" si="70"/>
        <v>10129.082576892664</v>
      </c>
      <c r="V74" s="164">
        <f t="shared" si="70"/>
        <v>10534.245879968372</v>
      </c>
      <c r="W74" s="164">
        <f t="shared" si="70"/>
        <v>10955.615715167107</v>
      </c>
    </row>
    <row r="75" spans="1:24" x14ac:dyDescent="0.2">
      <c r="A75" s="172" t="str">
        <f>'Data Input 2'!G18</f>
        <v>Lab</v>
      </c>
      <c r="B75" s="220">
        <f>'Data Input 2'!K18</f>
        <v>5000</v>
      </c>
      <c r="C75" s="187">
        <f t="shared" si="71"/>
        <v>5000</v>
      </c>
      <c r="D75" s="164">
        <f t="shared" si="72"/>
        <v>5200</v>
      </c>
      <c r="E75" s="164">
        <f t="shared" si="70"/>
        <v>5408</v>
      </c>
      <c r="F75" s="164">
        <f t="shared" si="70"/>
        <v>5624.3200000000006</v>
      </c>
      <c r="G75" s="164">
        <f t="shared" si="70"/>
        <v>5849.2928000000011</v>
      </c>
      <c r="H75" s="164">
        <f t="shared" si="70"/>
        <v>6083.2645120000016</v>
      </c>
      <c r="I75" s="164">
        <f t="shared" si="70"/>
        <v>6326.5950924800018</v>
      </c>
      <c r="J75" s="164">
        <f t="shared" si="70"/>
        <v>6579.6588961792022</v>
      </c>
      <c r="K75" s="164">
        <f t="shared" si="70"/>
        <v>6842.8452520263709</v>
      </c>
      <c r="L75" s="164">
        <f t="shared" si="70"/>
        <v>7116.5590621074261</v>
      </c>
      <c r="M75" s="164">
        <f t="shared" si="70"/>
        <v>7401.221424591723</v>
      </c>
      <c r="N75" s="164">
        <f t="shared" si="70"/>
        <v>7697.2702815753919</v>
      </c>
      <c r="O75" s="164">
        <f t="shared" si="70"/>
        <v>8005.161092838408</v>
      </c>
      <c r="P75" s="164">
        <f t="shared" si="70"/>
        <v>8325.3675365519448</v>
      </c>
      <c r="Q75" s="164">
        <f t="shared" si="70"/>
        <v>8658.3822380140227</v>
      </c>
      <c r="R75" s="164">
        <f t="shared" si="70"/>
        <v>9004.7175275345835</v>
      </c>
      <c r="S75" s="164">
        <f t="shared" si="70"/>
        <v>9364.9062286359676</v>
      </c>
      <c r="T75" s="164">
        <f t="shared" si="70"/>
        <v>9739.5024777814069</v>
      </c>
      <c r="U75" s="164">
        <f t="shared" si="70"/>
        <v>10129.082576892664</v>
      </c>
      <c r="V75" s="164">
        <f t="shared" si="70"/>
        <v>10534.245879968372</v>
      </c>
      <c r="W75" s="164">
        <f t="shared" si="70"/>
        <v>10955.615715167107</v>
      </c>
    </row>
    <row r="76" spans="1:24" x14ac:dyDescent="0.2">
      <c r="A76" s="172" t="str">
        <f>'Data Input 2'!G19</f>
        <v>Routine repairs &amp; maintenance</v>
      </c>
      <c r="B76" s="220">
        <f>'Data Input 2'!K19</f>
        <v>20000</v>
      </c>
      <c r="C76" s="187">
        <f t="shared" si="71"/>
        <v>20000</v>
      </c>
      <c r="D76" s="164">
        <f t="shared" si="72"/>
        <v>20800</v>
      </c>
      <c r="E76" s="164">
        <f t="shared" si="70"/>
        <v>21632</v>
      </c>
      <c r="F76" s="164">
        <f t="shared" si="70"/>
        <v>22497.280000000002</v>
      </c>
      <c r="G76" s="164">
        <f t="shared" si="70"/>
        <v>23397.171200000004</v>
      </c>
      <c r="H76" s="164">
        <f t="shared" si="70"/>
        <v>24333.058048000006</v>
      </c>
      <c r="I76" s="164">
        <f t="shared" si="70"/>
        <v>25306.380369920007</v>
      </c>
      <c r="J76" s="164">
        <f t="shared" si="70"/>
        <v>26318.635584716809</v>
      </c>
      <c r="K76" s="164">
        <f t="shared" si="70"/>
        <v>27371.381008105483</v>
      </c>
      <c r="L76" s="164">
        <f t="shared" si="70"/>
        <v>28466.236248429705</v>
      </c>
      <c r="M76" s="164">
        <f t="shared" si="70"/>
        <v>29604.885698366892</v>
      </c>
      <c r="N76" s="164">
        <f t="shared" si="70"/>
        <v>30789.081126301568</v>
      </c>
      <c r="O76" s="164">
        <f t="shared" si="70"/>
        <v>32020.644371353632</v>
      </c>
      <c r="P76" s="164">
        <f t="shared" si="70"/>
        <v>33301.470146207779</v>
      </c>
      <c r="Q76" s="164">
        <f t="shared" si="70"/>
        <v>34633.528952056091</v>
      </c>
      <c r="R76" s="164">
        <f t="shared" si="70"/>
        <v>36018.870110138334</v>
      </c>
      <c r="S76" s="164">
        <f t="shared" si="70"/>
        <v>37459.624914543871</v>
      </c>
      <c r="T76" s="164">
        <f t="shared" si="70"/>
        <v>38958.009911125628</v>
      </c>
      <c r="U76" s="164">
        <f t="shared" si="70"/>
        <v>40516.330307570657</v>
      </c>
      <c r="V76" s="164">
        <f t="shared" si="70"/>
        <v>42136.983519873487</v>
      </c>
      <c r="W76" s="164">
        <f t="shared" si="70"/>
        <v>43822.462860668427</v>
      </c>
    </row>
    <row r="77" spans="1:24" x14ac:dyDescent="0.2">
      <c r="A77" s="172" t="str">
        <f>'Data Input 2'!G20</f>
        <v>Water purchase</v>
      </c>
      <c r="B77" s="220">
        <f>'Data Input 2'!K20</f>
        <v>0</v>
      </c>
      <c r="C77" s="187">
        <f t="shared" si="71"/>
        <v>0</v>
      </c>
      <c r="D77" s="164">
        <f t="shared" si="72"/>
        <v>0</v>
      </c>
      <c r="E77" s="164">
        <f t="shared" si="70"/>
        <v>0</v>
      </c>
      <c r="F77" s="164">
        <f t="shared" si="70"/>
        <v>0</v>
      </c>
      <c r="G77" s="164">
        <f t="shared" si="70"/>
        <v>0</v>
      </c>
      <c r="H77" s="164">
        <f t="shared" si="70"/>
        <v>0</v>
      </c>
      <c r="I77" s="164">
        <f t="shared" si="70"/>
        <v>0</v>
      </c>
      <c r="J77" s="164">
        <f t="shared" si="70"/>
        <v>0</v>
      </c>
      <c r="K77" s="164">
        <f t="shared" si="70"/>
        <v>0</v>
      </c>
      <c r="L77" s="164">
        <f t="shared" si="70"/>
        <v>0</v>
      </c>
      <c r="M77" s="164">
        <f t="shared" si="70"/>
        <v>0</v>
      </c>
      <c r="N77" s="164">
        <f t="shared" si="70"/>
        <v>0</v>
      </c>
      <c r="O77" s="164">
        <f t="shared" si="70"/>
        <v>0</v>
      </c>
      <c r="P77" s="164">
        <f t="shared" si="70"/>
        <v>0</v>
      </c>
      <c r="Q77" s="164">
        <f t="shared" si="70"/>
        <v>0</v>
      </c>
      <c r="R77" s="164">
        <f t="shared" si="70"/>
        <v>0</v>
      </c>
      <c r="S77" s="164">
        <f t="shared" si="70"/>
        <v>0</v>
      </c>
      <c r="T77" s="164">
        <f t="shared" si="70"/>
        <v>0</v>
      </c>
      <c r="U77" s="164">
        <f t="shared" si="70"/>
        <v>0</v>
      </c>
      <c r="V77" s="164">
        <f t="shared" si="70"/>
        <v>0</v>
      </c>
      <c r="W77" s="164">
        <f t="shared" si="70"/>
        <v>0</v>
      </c>
    </row>
    <row r="78" spans="1:24" x14ac:dyDescent="0.2">
      <c r="A78" s="172" t="str">
        <f>'Data Input 2'!G21</f>
        <v>Taxes</v>
      </c>
      <c r="B78" s="220">
        <f>'Data Input 2'!K21</f>
        <v>0</v>
      </c>
      <c r="C78" s="187">
        <f t="shared" si="71"/>
        <v>0</v>
      </c>
      <c r="D78" s="164">
        <f t="shared" si="72"/>
        <v>0</v>
      </c>
      <c r="E78" s="164">
        <f t="shared" si="70"/>
        <v>0</v>
      </c>
      <c r="F78" s="164">
        <f t="shared" si="70"/>
        <v>0</v>
      </c>
      <c r="G78" s="164">
        <f t="shared" si="70"/>
        <v>0</v>
      </c>
      <c r="H78" s="164">
        <f t="shared" si="70"/>
        <v>0</v>
      </c>
      <c r="I78" s="164">
        <f t="shared" si="70"/>
        <v>0</v>
      </c>
      <c r="J78" s="164">
        <f t="shared" si="70"/>
        <v>0</v>
      </c>
      <c r="K78" s="164">
        <f t="shared" si="70"/>
        <v>0</v>
      </c>
      <c r="L78" s="164">
        <f t="shared" si="70"/>
        <v>0</v>
      </c>
      <c r="M78" s="164">
        <f t="shared" si="70"/>
        <v>0</v>
      </c>
      <c r="N78" s="164">
        <f t="shared" si="70"/>
        <v>0</v>
      </c>
      <c r="O78" s="164">
        <f t="shared" si="70"/>
        <v>0</v>
      </c>
      <c r="P78" s="164">
        <f t="shared" si="70"/>
        <v>0</v>
      </c>
      <c r="Q78" s="164">
        <f t="shared" si="70"/>
        <v>0</v>
      </c>
      <c r="R78" s="164">
        <f t="shared" si="70"/>
        <v>0</v>
      </c>
      <c r="S78" s="164">
        <f t="shared" si="70"/>
        <v>0</v>
      </c>
      <c r="T78" s="164">
        <f t="shared" si="70"/>
        <v>0</v>
      </c>
      <c r="U78" s="164">
        <f t="shared" si="70"/>
        <v>0</v>
      </c>
      <c r="V78" s="164">
        <f t="shared" si="70"/>
        <v>0</v>
      </c>
      <c r="W78" s="164">
        <f t="shared" si="70"/>
        <v>0</v>
      </c>
    </row>
    <row r="79" spans="1:24" x14ac:dyDescent="0.2">
      <c r="A79" s="172" t="str">
        <f>'Data Input 2'!G22</f>
        <v>Consultants, service providers, trainings</v>
      </c>
      <c r="B79" s="220">
        <f>'Data Input 2'!K22</f>
        <v>1000</v>
      </c>
      <c r="C79" s="187">
        <f t="shared" si="71"/>
        <v>1000</v>
      </c>
      <c r="D79" s="164">
        <f t="shared" si="72"/>
        <v>1040</v>
      </c>
      <c r="E79" s="164">
        <f t="shared" si="70"/>
        <v>1081.6000000000001</v>
      </c>
      <c r="F79" s="164">
        <f t="shared" si="70"/>
        <v>1124.8640000000003</v>
      </c>
      <c r="G79" s="164">
        <f t="shared" si="70"/>
        <v>1169.8585600000004</v>
      </c>
      <c r="H79" s="164">
        <f t="shared" si="70"/>
        <v>1216.6529024000004</v>
      </c>
      <c r="I79" s="164">
        <f t="shared" si="70"/>
        <v>1265.3190184960004</v>
      </c>
      <c r="J79" s="164">
        <f t="shared" si="70"/>
        <v>1315.9317792358404</v>
      </c>
      <c r="K79" s="164">
        <f t="shared" si="70"/>
        <v>1368.5690504052741</v>
      </c>
      <c r="L79" s="164">
        <f t="shared" si="70"/>
        <v>1423.311812421485</v>
      </c>
      <c r="M79" s="164">
        <f t="shared" si="70"/>
        <v>1480.2442849183444</v>
      </c>
      <c r="N79" s="164">
        <f t="shared" si="70"/>
        <v>1539.4540563150783</v>
      </c>
      <c r="O79" s="164">
        <f t="shared" si="70"/>
        <v>1601.0322185676814</v>
      </c>
      <c r="P79" s="164">
        <f t="shared" si="70"/>
        <v>1665.0735073103888</v>
      </c>
      <c r="Q79" s="164">
        <f t="shared" si="70"/>
        <v>1731.6764476028043</v>
      </c>
      <c r="R79" s="164">
        <f t="shared" si="70"/>
        <v>1800.9435055069166</v>
      </c>
      <c r="S79" s="164">
        <f t="shared" si="70"/>
        <v>1872.9812457271933</v>
      </c>
      <c r="T79" s="164">
        <f t="shared" si="70"/>
        <v>1947.9004955562812</v>
      </c>
      <c r="U79" s="164">
        <f t="shared" si="70"/>
        <v>2025.8165153785326</v>
      </c>
      <c r="V79" s="164">
        <f t="shared" si="70"/>
        <v>2106.8491759936742</v>
      </c>
      <c r="W79" s="164">
        <f t="shared" si="70"/>
        <v>2191.123143033421</v>
      </c>
    </row>
    <row r="80" spans="1:24" s="140" customFormat="1" x14ac:dyDescent="0.2">
      <c r="A80" s="172" t="str">
        <f>'Data Input 2'!G23</f>
        <v>Miscellaneous annual expenses</v>
      </c>
      <c r="B80" s="220">
        <f>'Data Input 2'!K23</f>
        <v>224000</v>
      </c>
      <c r="C80" s="187">
        <f t="shared" si="71"/>
        <v>224000</v>
      </c>
      <c r="D80" s="164">
        <f t="shared" si="72"/>
        <v>232960</v>
      </c>
      <c r="E80" s="164">
        <f t="shared" si="70"/>
        <v>242278.39999999999</v>
      </c>
      <c r="F80" s="164">
        <f t="shared" si="70"/>
        <v>251969.53599999999</v>
      </c>
      <c r="G80" s="164">
        <f t="shared" si="70"/>
        <v>262048.31744000001</v>
      </c>
      <c r="H80" s="164">
        <f t="shared" si="70"/>
        <v>272530.2501376</v>
      </c>
      <c r="I80" s="164">
        <f t="shared" si="70"/>
        <v>283431.46014310402</v>
      </c>
      <c r="J80" s="164">
        <f t="shared" si="70"/>
        <v>294768.71854882821</v>
      </c>
      <c r="K80" s="164">
        <f t="shared" si="70"/>
        <v>306559.46729078132</v>
      </c>
      <c r="L80" s="164">
        <f t="shared" si="70"/>
        <v>318821.84598241257</v>
      </c>
      <c r="M80" s="164">
        <f t="shared" si="70"/>
        <v>331574.71982170909</v>
      </c>
      <c r="N80" s="164">
        <f t="shared" si="70"/>
        <v>344837.70861457748</v>
      </c>
      <c r="O80" s="164">
        <f t="shared" si="70"/>
        <v>358631.21695916058</v>
      </c>
      <c r="P80" s="164">
        <f t="shared" si="70"/>
        <v>372976.465637527</v>
      </c>
      <c r="Q80" s="164">
        <f t="shared" si="70"/>
        <v>387895.52426302811</v>
      </c>
      <c r="R80" s="164">
        <f t="shared" si="70"/>
        <v>403411.34523354925</v>
      </c>
      <c r="S80" s="164">
        <f t="shared" si="70"/>
        <v>419547.79904289125</v>
      </c>
      <c r="T80" s="164">
        <f t="shared" si="70"/>
        <v>436329.71100460691</v>
      </c>
      <c r="U80" s="164">
        <f t="shared" si="70"/>
        <v>453782.8994447912</v>
      </c>
      <c r="V80" s="164">
        <f t="shared" si="70"/>
        <v>471934.21542258287</v>
      </c>
      <c r="W80" s="164">
        <f t="shared" si="70"/>
        <v>490811.58403948619</v>
      </c>
    </row>
    <row r="81" spans="1:24" x14ac:dyDescent="0.2">
      <c r="A81" s="172" t="str">
        <f>'Data Input 2'!G24</f>
        <v>Depreciation or Cash Capital Expenses excluded from "Debt Service" box</v>
      </c>
      <c r="B81" s="220">
        <f>'Data Input 2'!K24</f>
        <v>200000</v>
      </c>
      <c r="C81" s="187">
        <f t="shared" si="71"/>
        <v>200000</v>
      </c>
      <c r="D81" s="164">
        <f t="shared" ref="D81:W81" si="73">C81*(1+$B$69)</f>
        <v>208000</v>
      </c>
      <c r="E81" s="164">
        <f t="shared" si="73"/>
        <v>216320</v>
      </c>
      <c r="F81" s="164">
        <f t="shared" si="73"/>
        <v>224972.80000000002</v>
      </c>
      <c r="G81" s="164">
        <f t="shared" si="73"/>
        <v>233971.71200000003</v>
      </c>
      <c r="H81" s="164">
        <f t="shared" si="73"/>
        <v>243330.58048000003</v>
      </c>
      <c r="I81" s="164">
        <f t="shared" si="73"/>
        <v>253063.80369920004</v>
      </c>
      <c r="J81" s="164">
        <f t="shared" si="73"/>
        <v>263186.35584716807</v>
      </c>
      <c r="K81" s="164">
        <f t="shared" si="73"/>
        <v>273713.81008105481</v>
      </c>
      <c r="L81" s="164">
        <f t="shared" si="73"/>
        <v>284662.36248429702</v>
      </c>
      <c r="M81" s="164">
        <f t="shared" si="73"/>
        <v>296048.85698366893</v>
      </c>
      <c r="N81" s="164">
        <f t="shared" si="73"/>
        <v>307890.81126301567</v>
      </c>
      <c r="O81" s="164">
        <f t="shared" si="73"/>
        <v>320206.44371353631</v>
      </c>
      <c r="P81" s="164">
        <f t="shared" si="73"/>
        <v>333014.70146207779</v>
      </c>
      <c r="Q81" s="164">
        <f t="shared" si="73"/>
        <v>346335.28952056094</v>
      </c>
      <c r="R81" s="164">
        <f t="shared" si="73"/>
        <v>360188.70110138337</v>
      </c>
      <c r="S81" s="164">
        <f t="shared" si="73"/>
        <v>374596.24914543872</v>
      </c>
      <c r="T81" s="164">
        <f t="shared" si="73"/>
        <v>389580.09911125631</v>
      </c>
      <c r="U81" s="164">
        <f t="shared" si="73"/>
        <v>405163.30307570659</v>
      </c>
      <c r="V81" s="164">
        <f t="shared" si="73"/>
        <v>421369.83519873489</v>
      </c>
      <c r="W81" s="164">
        <f t="shared" si="73"/>
        <v>438224.62860668427</v>
      </c>
    </row>
    <row r="82" spans="1:24" s="140" customFormat="1" x14ac:dyDescent="0.2">
      <c r="A82" s="193"/>
      <c r="B82" s="220"/>
      <c r="C82" s="187"/>
      <c r="D82" s="164"/>
      <c r="E82" s="164"/>
      <c r="F82" s="164"/>
      <c r="G82" s="164"/>
      <c r="H82" s="164"/>
      <c r="I82" s="164"/>
      <c r="J82" s="164"/>
      <c r="K82" s="164"/>
      <c r="L82" s="164"/>
      <c r="M82" s="164"/>
      <c r="N82" s="164"/>
      <c r="O82" s="164"/>
      <c r="P82" s="164"/>
      <c r="Q82" s="164"/>
      <c r="R82" s="164"/>
      <c r="S82" s="164"/>
      <c r="T82" s="164"/>
      <c r="U82" s="164"/>
      <c r="V82" s="164"/>
      <c r="W82" s="164"/>
    </row>
    <row r="83" spans="1:24" s="140" customFormat="1" x14ac:dyDescent="0.2">
      <c r="A83" s="189" t="str">
        <f>'Data Input 2'!M9</f>
        <v>Debt Service and Other Known Annual Expenses</v>
      </c>
      <c r="B83" s="190" t="s">
        <v>125</v>
      </c>
      <c r="C83" s="191">
        <f t="array" ref="C83:W83">TRANSPOSE('Data Input 2'!N18:N39)</f>
        <v>25000</v>
      </c>
      <c r="D83" s="192">
        <v>25000</v>
      </c>
      <c r="E83" s="192">
        <v>25000</v>
      </c>
      <c r="F83" s="192">
        <v>5000</v>
      </c>
      <c r="G83" s="192">
        <v>5000</v>
      </c>
      <c r="H83" s="192">
        <v>5000</v>
      </c>
      <c r="I83" s="192">
        <v>0</v>
      </c>
      <c r="J83" s="192">
        <v>0</v>
      </c>
      <c r="K83" s="192">
        <v>0</v>
      </c>
      <c r="L83" s="192">
        <v>0</v>
      </c>
      <c r="M83" s="192">
        <v>50000</v>
      </c>
      <c r="N83" s="192">
        <v>50000</v>
      </c>
      <c r="O83" s="192">
        <v>50000</v>
      </c>
      <c r="P83" s="192">
        <v>50000</v>
      </c>
      <c r="Q83" s="192">
        <v>50000</v>
      </c>
      <c r="R83" s="192">
        <v>50000</v>
      </c>
      <c r="S83" s="192">
        <v>50000</v>
      </c>
      <c r="T83" s="192">
        <v>50000</v>
      </c>
      <c r="U83" s="192">
        <v>50000</v>
      </c>
      <c r="V83" s="192">
        <v>50000</v>
      </c>
      <c r="W83" s="192">
        <v>50000</v>
      </c>
    </row>
    <row r="84" spans="1:24" x14ac:dyDescent="0.2">
      <c r="A84" s="142"/>
      <c r="B84" s="199"/>
      <c r="C84" s="183"/>
      <c r="D84" s="139"/>
      <c r="J84" s="200"/>
      <c r="K84" s="200"/>
      <c r="L84" s="200"/>
      <c r="M84" s="200"/>
      <c r="N84" s="200"/>
      <c r="O84" s="200"/>
      <c r="P84" s="200"/>
      <c r="Q84" s="200"/>
      <c r="R84" s="200"/>
      <c r="S84" s="200"/>
      <c r="T84" s="200"/>
      <c r="U84" s="200"/>
      <c r="V84" s="200"/>
      <c r="W84" s="200"/>
    </row>
    <row r="85" spans="1:24" s="140" customFormat="1" ht="15" x14ac:dyDescent="0.25">
      <c r="A85" s="195" t="s">
        <v>95</v>
      </c>
      <c r="B85" s="194"/>
      <c r="C85" s="196">
        <f t="shared" ref="C85:W85" si="74">C86-C81-C83</f>
        <v>745000</v>
      </c>
      <c r="D85" s="196">
        <f t="shared" si="74"/>
        <v>774800</v>
      </c>
      <c r="E85" s="196">
        <f t="shared" si="74"/>
        <v>805792</v>
      </c>
      <c r="F85" s="196">
        <f t="shared" si="74"/>
        <v>838023.6799999997</v>
      </c>
      <c r="G85" s="196">
        <f t="shared" si="74"/>
        <v>871544.62719999999</v>
      </c>
      <c r="H85" s="196">
        <f t="shared" si="74"/>
        <v>906406.41228800011</v>
      </c>
      <c r="I85" s="196">
        <f t="shared" si="74"/>
        <v>942662.66877951985</v>
      </c>
      <c r="J85" s="196">
        <f t="shared" si="74"/>
        <v>980369.17553070071</v>
      </c>
      <c r="K85" s="196">
        <f t="shared" si="74"/>
        <v>1019583.9425519287</v>
      </c>
      <c r="L85" s="196">
        <f t="shared" si="74"/>
        <v>1060367.3002540064</v>
      </c>
      <c r="M85" s="196">
        <f t="shared" si="74"/>
        <v>1102781.9922641665</v>
      </c>
      <c r="N85" s="196">
        <f t="shared" si="74"/>
        <v>1146893.2719547332</v>
      </c>
      <c r="O85" s="196">
        <f t="shared" si="74"/>
        <v>1192769.0028329224</v>
      </c>
      <c r="P85" s="196">
        <f t="shared" si="74"/>
        <v>1240479.7629462392</v>
      </c>
      <c r="Q85" s="196">
        <f t="shared" si="74"/>
        <v>1290098.953464089</v>
      </c>
      <c r="R85" s="196">
        <f t="shared" si="74"/>
        <v>1341702.9116026526</v>
      </c>
      <c r="S85" s="196">
        <f t="shared" si="74"/>
        <v>1395371.0280667585</v>
      </c>
      <c r="T85" s="196">
        <f t="shared" si="74"/>
        <v>1451185.8691894291</v>
      </c>
      <c r="U85" s="196">
        <f t="shared" si="74"/>
        <v>1509233.3039570064</v>
      </c>
      <c r="V85" s="196">
        <f t="shared" si="74"/>
        <v>1569602.6361152865</v>
      </c>
      <c r="W85" s="196">
        <f t="shared" si="74"/>
        <v>1632386.7415598978</v>
      </c>
      <c r="X85" s="164"/>
    </row>
    <row r="86" spans="1:24" s="180" customFormat="1" ht="15.75" thickBot="1" x14ac:dyDescent="0.3">
      <c r="A86" s="177" t="s">
        <v>143</v>
      </c>
      <c r="B86" s="197"/>
      <c r="C86" s="198">
        <f t="shared" ref="C86:W86" si="75">SUM(C71:C83)</f>
        <v>970000</v>
      </c>
      <c r="D86" s="198">
        <f t="shared" si="75"/>
        <v>1007800</v>
      </c>
      <c r="E86" s="198">
        <f t="shared" si="75"/>
        <v>1047112</v>
      </c>
      <c r="F86" s="198">
        <f t="shared" si="75"/>
        <v>1067996.4799999997</v>
      </c>
      <c r="G86" s="198">
        <f t="shared" si="75"/>
        <v>1110516.3392</v>
      </c>
      <c r="H86" s="198">
        <f t="shared" si="75"/>
        <v>1154736.9927680001</v>
      </c>
      <c r="I86" s="198">
        <f t="shared" si="75"/>
        <v>1195726.4724787199</v>
      </c>
      <c r="J86" s="198">
        <f t="shared" si="75"/>
        <v>1243555.5313778687</v>
      </c>
      <c r="K86" s="198">
        <f t="shared" si="75"/>
        <v>1293297.7526329835</v>
      </c>
      <c r="L86" s="198">
        <f t="shared" si="75"/>
        <v>1345029.6627383034</v>
      </c>
      <c r="M86" s="198">
        <f t="shared" si="75"/>
        <v>1448830.8492478353</v>
      </c>
      <c r="N86" s="198">
        <f t="shared" si="75"/>
        <v>1504784.0832177489</v>
      </c>
      <c r="O86" s="198">
        <f t="shared" si="75"/>
        <v>1562975.4465464586</v>
      </c>
      <c r="P86" s="198">
        <f t="shared" si="75"/>
        <v>1623494.4644083171</v>
      </c>
      <c r="Q86" s="198">
        <f t="shared" si="75"/>
        <v>1686434.24298465</v>
      </c>
      <c r="R86" s="198">
        <f t="shared" si="75"/>
        <v>1751891.6127040361</v>
      </c>
      <c r="S86" s="198">
        <f t="shared" si="75"/>
        <v>1819967.2772121972</v>
      </c>
      <c r="T86" s="198">
        <f t="shared" si="75"/>
        <v>1890765.9683006853</v>
      </c>
      <c r="U86" s="198">
        <f t="shared" si="75"/>
        <v>1964396.607032713</v>
      </c>
      <c r="V86" s="198">
        <f t="shared" si="75"/>
        <v>2040972.4713140214</v>
      </c>
      <c r="W86" s="198">
        <f t="shared" si="75"/>
        <v>2120611.3701665821</v>
      </c>
      <c r="X86" s="198"/>
    </row>
    <row r="87" spans="1:24" ht="13.5" thickTop="1" x14ac:dyDescent="0.2">
      <c r="A87" s="142"/>
      <c r="B87" s="199"/>
      <c r="C87" s="183"/>
      <c r="D87" s="139"/>
      <c r="J87" s="200"/>
      <c r="K87" s="200"/>
      <c r="L87" s="200"/>
      <c r="M87" s="200"/>
      <c r="N87" s="200"/>
      <c r="O87" s="200"/>
      <c r="P87" s="200"/>
      <c r="Q87" s="200"/>
      <c r="R87" s="200"/>
      <c r="S87" s="200"/>
      <c r="T87" s="200"/>
      <c r="U87" s="200"/>
      <c r="V87" s="200"/>
      <c r="W87" s="200"/>
      <c r="X87" s="200"/>
    </row>
    <row r="88" spans="1:24" s="203" customFormat="1" ht="15.75" thickBot="1" x14ac:dyDescent="0.3">
      <c r="A88" s="201" t="s">
        <v>144</v>
      </c>
      <c r="B88" s="202"/>
      <c r="C88" s="203">
        <f t="shared" ref="C88:W88" si="76">C67-C86</f>
        <v>-36551.008000000031</v>
      </c>
      <c r="D88" s="203">
        <f t="shared" si="76"/>
        <v>-68424.264000000083</v>
      </c>
      <c r="E88" s="203">
        <f t="shared" si="76"/>
        <v>-104044.98345599999</v>
      </c>
      <c r="F88" s="203">
        <f t="shared" si="76"/>
        <v>-121272.67661487963</v>
      </c>
      <c r="G88" s="203">
        <f t="shared" si="76"/>
        <v>-160169.29519978247</v>
      </c>
      <c r="H88" s="203">
        <f t="shared" si="76"/>
        <v>-200799.32867519569</v>
      </c>
      <c r="I88" s="203">
        <f t="shared" si="76"/>
        <v>-237419.95452206524</v>
      </c>
      <c r="J88" s="203">
        <f t="shared" si="76"/>
        <v>-281413.4278355774</v>
      </c>
      <c r="K88" s="203">
        <f t="shared" si="76"/>
        <v>-325021.38570470945</v>
      </c>
      <c r="L88" s="203">
        <f t="shared" si="76"/>
        <v>-372652.9087381619</v>
      </c>
      <c r="M88" s="203">
        <f t="shared" si="76"/>
        <v>-472386.68912200339</v>
      </c>
      <c r="N88" s="203">
        <f t="shared" si="76"/>
        <v>-524304.62248402962</v>
      </c>
      <c r="O88" s="203">
        <f t="shared" si="76"/>
        <v>-578491.934793783</v>
      </c>
      <c r="P88" s="203">
        <f t="shared" si="76"/>
        <v>-635037.31436605577</v>
      </c>
      <c r="Q88" s="203">
        <f t="shared" si="76"/>
        <v>-694033.04917138023</v>
      </c>
      <c r="R88" s="203">
        <f t="shared" si="76"/>
        <v>-755575.16966519866</v>
      </c>
      <c r="S88" s="203">
        <f t="shared" si="76"/>
        <v>-818965.29277858406</v>
      </c>
      <c r="T88" s="203">
        <f t="shared" si="76"/>
        <v>-885607.8930773898</v>
      </c>
      <c r="U88" s="203">
        <f t="shared" si="76"/>
        <v>-955111.11094572151</v>
      </c>
      <c r="V88" s="203">
        <f t="shared" si="76"/>
        <v>-1025268.9075609068</v>
      </c>
      <c r="W88" s="203">
        <f t="shared" si="76"/>
        <v>-1100519.0357776163</v>
      </c>
    </row>
    <row r="89" spans="1:24" ht="13.5" thickTop="1" x14ac:dyDescent="0.2">
      <c r="A89" s="204"/>
      <c r="D89" s="139"/>
    </row>
    <row r="90" spans="1:24" ht="15" x14ac:dyDescent="0.25">
      <c r="A90" s="205" t="s">
        <v>145</v>
      </c>
      <c r="B90" s="199"/>
      <c r="C90" s="206">
        <f t="shared" ref="C90:W90" si="77">ROUND(C67/C86,2)</f>
        <v>0.96</v>
      </c>
      <c r="D90" s="206">
        <f t="shared" si="77"/>
        <v>0.93</v>
      </c>
      <c r="E90" s="206">
        <f t="shared" si="77"/>
        <v>0.9</v>
      </c>
      <c r="F90" s="206">
        <f t="shared" si="77"/>
        <v>0.89</v>
      </c>
      <c r="G90" s="206">
        <f t="shared" si="77"/>
        <v>0.86</v>
      </c>
      <c r="H90" s="206">
        <f t="shared" si="77"/>
        <v>0.83</v>
      </c>
      <c r="I90" s="206">
        <f t="shared" si="77"/>
        <v>0.8</v>
      </c>
      <c r="J90" s="206">
        <f t="shared" si="77"/>
        <v>0.77</v>
      </c>
      <c r="K90" s="206">
        <f t="shared" si="77"/>
        <v>0.75</v>
      </c>
      <c r="L90" s="206">
        <f t="shared" si="77"/>
        <v>0.72</v>
      </c>
      <c r="M90" s="206">
        <f t="shared" si="77"/>
        <v>0.67</v>
      </c>
      <c r="N90" s="206">
        <f t="shared" si="77"/>
        <v>0.65</v>
      </c>
      <c r="O90" s="206">
        <f t="shared" si="77"/>
        <v>0.63</v>
      </c>
      <c r="P90" s="206">
        <f t="shared" si="77"/>
        <v>0.61</v>
      </c>
      <c r="Q90" s="206">
        <f t="shared" si="77"/>
        <v>0.59</v>
      </c>
      <c r="R90" s="206">
        <f t="shared" si="77"/>
        <v>0.56999999999999995</v>
      </c>
      <c r="S90" s="206">
        <f t="shared" si="77"/>
        <v>0.55000000000000004</v>
      </c>
      <c r="T90" s="206">
        <f t="shared" si="77"/>
        <v>0.53</v>
      </c>
      <c r="U90" s="206">
        <f t="shared" si="77"/>
        <v>0.51</v>
      </c>
      <c r="V90" s="206">
        <f t="shared" si="77"/>
        <v>0.5</v>
      </c>
      <c r="W90" s="206">
        <f t="shared" si="77"/>
        <v>0.48</v>
      </c>
    </row>
    <row r="91" spans="1:24" s="149" customFormat="1" ht="15.75" thickBot="1" x14ac:dyDescent="0.3">
      <c r="A91" s="207" t="s">
        <v>146</v>
      </c>
      <c r="B91" s="208">
        <f>'Data Input 2'!K7</f>
        <v>1750000</v>
      </c>
      <c r="C91" s="209">
        <f>B91+C88</f>
        <v>1713448.9920000001</v>
      </c>
      <c r="D91" s="209">
        <f t="shared" ref="D91:W91" si="78">C91+D88</f>
        <v>1645024.7280000001</v>
      </c>
      <c r="E91" s="209">
        <f t="shared" si="78"/>
        <v>1540979.7445440001</v>
      </c>
      <c r="F91" s="209">
        <f t="shared" si="78"/>
        <v>1419707.0679291205</v>
      </c>
      <c r="G91" s="209">
        <f t="shared" si="78"/>
        <v>1259537.7727293381</v>
      </c>
      <c r="H91" s="209">
        <f t="shared" si="78"/>
        <v>1058738.4440541426</v>
      </c>
      <c r="I91" s="209">
        <f t="shared" si="78"/>
        <v>821318.48953207734</v>
      </c>
      <c r="J91" s="209">
        <f t="shared" si="78"/>
        <v>539905.06169649994</v>
      </c>
      <c r="K91" s="209">
        <f t="shared" si="78"/>
        <v>214883.67599179049</v>
      </c>
      <c r="L91" s="209">
        <f t="shared" si="78"/>
        <v>-157769.23274637142</v>
      </c>
      <c r="M91" s="209">
        <f t="shared" si="78"/>
        <v>-630155.9218683748</v>
      </c>
      <c r="N91" s="209">
        <f t="shared" si="78"/>
        <v>-1154460.5443524043</v>
      </c>
      <c r="O91" s="209">
        <f t="shared" si="78"/>
        <v>-1732952.4791461872</v>
      </c>
      <c r="P91" s="209">
        <f t="shared" si="78"/>
        <v>-2367989.7935122428</v>
      </c>
      <c r="Q91" s="209">
        <f t="shared" si="78"/>
        <v>-3062022.8426836231</v>
      </c>
      <c r="R91" s="209">
        <f t="shared" si="78"/>
        <v>-3817598.0123488219</v>
      </c>
      <c r="S91" s="209">
        <f t="shared" si="78"/>
        <v>-4636563.3051274056</v>
      </c>
      <c r="T91" s="209">
        <f t="shared" si="78"/>
        <v>-5522171.1982047949</v>
      </c>
      <c r="U91" s="209">
        <f t="shared" si="78"/>
        <v>-6477282.3091505161</v>
      </c>
      <c r="V91" s="209">
        <f t="shared" si="78"/>
        <v>-7502551.2167114224</v>
      </c>
      <c r="W91" s="209">
        <f t="shared" si="78"/>
        <v>-8603070.2524890378</v>
      </c>
    </row>
    <row r="92" spans="1:24" ht="13.5" thickTop="1" x14ac:dyDescent="0.2"/>
    <row r="93" spans="1:24" x14ac:dyDescent="0.2">
      <c r="A93" s="212" t="s">
        <v>102</v>
      </c>
      <c r="B93" s="221"/>
      <c r="C93" s="222"/>
      <c r="D93" s="222"/>
      <c r="E93" s="221"/>
      <c r="F93" s="221"/>
      <c r="G93" s="221"/>
      <c r="H93" s="221"/>
      <c r="I93" s="221"/>
      <c r="J93" s="221"/>
      <c r="K93" s="221"/>
    </row>
    <row r="95" spans="1:24" x14ac:dyDescent="0.2">
      <c r="A95" s="347" t="s">
        <v>130</v>
      </c>
      <c r="B95" s="347"/>
      <c r="C95" s="347"/>
      <c r="D95" s="347"/>
      <c r="E95" s="347"/>
      <c r="F95" s="347"/>
      <c r="G95" s="347"/>
      <c r="H95" s="347"/>
      <c r="I95" s="347"/>
      <c r="J95" s="347"/>
      <c r="K95" s="347"/>
    </row>
    <row r="96" spans="1:24" x14ac:dyDescent="0.2">
      <c r="A96" s="347" t="s">
        <v>97</v>
      </c>
      <c r="B96" s="347"/>
      <c r="C96" s="347"/>
      <c r="D96" s="347"/>
      <c r="E96" s="347"/>
      <c r="F96" s="347"/>
      <c r="G96" s="347"/>
      <c r="H96" s="347"/>
      <c r="I96" s="347"/>
      <c r="J96" s="347"/>
      <c r="K96" s="347"/>
    </row>
    <row r="97" spans="1:21" s="188" customFormat="1" x14ac:dyDescent="0.2">
      <c r="A97" s="349" t="s">
        <v>120</v>
      </c>
      <c r="B97" s="349"/>
      <c r="C97" s="349"/>
      <c r="D97" s="349"/>
      <c r="E97" s="349"/>
      <c r="F97" s="349"/>
      <c r="G97" s="349"/>
      <c r="H97" s="349"/>
      <c r="I97" s="349"/>
      <c r="J97" s="349"/>
      <c r="K97" s="349"/>
      <c r="L97" s="223"/>
      <c r="M97" s="223"/>
      <c r="N97" s="223"/>
      <c r="O97" s="223"/>
      <c r="P97" s="223"/>
      <c r="Q97" s="223"/>
      <c r="R97" s="223"/>
      <c r="S97" s="223"/>
      <c r="T97" s="223"/>
      <c r="U97" s="223"/>
    </row>
    <row r="98" spans="1:21" s="224" customFormat="1" x14ac:dyDescent="0.2">
      <c r="C98" s="225"/>
      <c r="D98" s="225"/>
    </row>
    <row r="99" spans="1:21" s="224" customFormat="1" x14ac:dyDescent="0.2">
      <c r="C99" s="225"/>
      <c r="D99" s="225"/>
    </row>
  </sheetData>
  <sheetProtection password="EB90" sheet="1" objects="1" scenarios="1" formatCells="0" formatColumns="0" formatRows="0"/>
  <mergeCells count="5">
    <mergeCell ref="A95:K95"/>
    <mergeCell ref="A96:K96"/>
    <mergeCell ref="A1:I1"/>
    <mergeCell ref="A2:I2"/>
    <mergeCell ref="A97:K97"/>
  </mergeCells>
  <phoneticPr fontId="0" type="noConversion"/>
  <hyperlinks>
    <hyperlink ref="A95:J95" r:id="rId1" display="Copyright © 2012 Environmental Finance Center at The University of North Carolina, Chapel Hill. www.efc.unc.edu" xr:uid="{00000000-0004-0000-0500-000000000000}"/>
    <hyperlink ref="A95:K95" r:id="rId2" display="Copyright © 2014 Environmental Finance Center at the University of North Carolina, Chapel Hill. efc.sog.unc.edu" xr:uid="{00000000-0004-0000-0500-000001000000}"/>
    <hyperlink ref="A97:K97" r:id="rId3" display="Download an updated version of this tool at http://efc.sog.unc.edu. Find it in Resources / Tools." xr:uid="{00000000-0004-0000-0500-000002000000}"/>
  </hyperlinks>
  <printOptions gridLines="1"/>
  <pageMargins left="0.75" right="0.46" top="0.91" bottom="0.38" header="0.25" footer="0.28000000000000003"/>
  <pageSetup scale="58" orientation="landscape" horizontalDpi="4294967293" r:id="rId4"/>
  <headerFooter alignWithMargins="0">
    <oddHeader xml:space="preserve">&amp;C&amp;"Arial,Bold"&amp;12Water and Sewer Rate Analysis&amp;R&amp;12Environmental Finance Center
University of North Carolina
</oddHeader>
    <oddFooter>&amp;L&amp;12Elmar D. Kapfer, P.E.
&amp;R&amp;"Arial,Bold"&amp;12Appendix 1</oddFooter>
  </headerFooter>
  <rowBreaks count="1" manualBreakCount="1">
    <brk id="69" max="1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98"/>
  <sheetViews>
    <sheetView zoomScale="90" zoomScaleNormal="90" zoomScalePageLayoutView="80" workbookViewId="0">
      <selection activeCell="A3" sqref="A3"/>
    </sheetView>
  </sheetViews>
  <sheetFormatPr defaultColWidth="8.85546875" defaultRowHeight="12.75" outlineLevelRow="1" x14ac:dyDescent="0.2"/>
  <cols>
    <col min="1" max="1" width="51.28515625" style="139" bestFit="1" customWidth="1"/>
    <col min="2" max="2" width="18.140625" style="139" customWidth="1"/>
    <col min="3" max="3" width="31" style="140" customWidth="1"/>
    <col min="4" max="4" width="15.7109375" style="140" customWidth="1"/>
    <col min="5" max="24" width="15.7109375" style="139" customWidth="1"/>
    <col min="25" max="16384" width="8.85546875" style="139"/>
  </cols>
  <sheetData>
    <row r="1" spans="1:24" ht="18" x14ac:dyDescent="0.2">
      <c r="A1" s="348" t="s">
        <v>119</v>
      </c>
      <c r="B1" s="348"/>
      <c r="C1" s="348"/>
      <c r="D1" s="348"/>
      <c r="E1" s="348"/>
      <c r="F1" s="348"/>
      <c r="G1" s="348"/>
      <c r="H1" s="348"/>
      <c r="I1" s="348"/>
      <c r="J1" s="138"/>
    </row>
    <row r="2" spans="1:24" ht="18" x14ac:dyDescent="0.2">
      <c r="A2" s="350" t="s">
        <v>83</v>
      </c>
      <c r="B2" s="350"/>
      <c r="C2" s="350"/>
      <c r="D2" s="350"/>
      <c r="E2" s="350"/>
      <c r="F2" s="350"/>
      <c r="G2" s="350"/>
      <c r="H2" s="350"/>
      <c r="I2" s="350"/>
      <c r="J2" s="138"/>
    </row>
    <row r="3" spans="1:24" x14ac:dyDescent="0.2">
      <c r="A3" s="140"/>
      <c r="B3" s="140"/>
      <c r="E3" s="140"/>
      <c r="F3" s="140"/>
      <c r="G3" s="140"/>
      <c r="H3" s="140"/>
      <c r="I3" s="140"/>
    </row>
    <row r="4" spans="1:24" x14ac:dyDescent="0.2">
      <c r="C4" s="141" t="s">
        <v>104</v>
      </c>
      <c r="D4" s="141" t="s">
        <v>107</v>
      </c>
    </row>
    <row r="5" spans="1:24" s="145" customFormat="1" x14ac:dyDescent="0.2">
      <c r="A5" s="142"/>
      <c r="B5" s="143" t="s">
        <v>96</v>
      </c>
      <c r="C5" s="144">
        <f>'Data Input 1'!F6</f>
        <v>2014</v>
      </c>
      <c r="D5" s="144">
        <f>C5+1</f>
        <v>2015</v>
      </c>
      <c r="E5" s="144">
        <f t="shared" ref="E5:X5" si="0">D5+1</f>
        <v>2016</v>
      </c>
      <c r="F5" s="144">
        <f t="shared" si="0"/>
        <v>2017</v>
      </c>
      <c r="G5" s="144">
        <f t="shared" si="0"/>
        <v>2018</v>
      </c>
      <c r="H5" s="144">
        <f t="shared" si="0"/>
        <v>2019</v>
      </c>
      <c r="I5" s="144">
        <f t="shared" si="0"/>
        <v>2020</v>
      </c>
      <c r="J5" s="144">
        <f t="shared" si="0"/>
        <v>2021</v>
      </c>
      <c r="K5" s="144">
        <f t="shared" si="0"/>
        <v>2022</v>
      </c>
      <c r="L5" s="144">
        <f t="shared" si="0"/>
        <v>2023</v>
      </c>
      <c r="M5" s="144">
        <f t="shared" si="0"/>
        <v>2024</v>
      </c>
      <c r="N5" s="144">
        <f t="shared" si="0"/>
        <v>2025</v>
      </c>
      <c r="O5" s="144">
        <f t="shared" si="0"/>
        <v>2026</v>
      </c>
      <c r="P5" s="144">
        <f t="shared" si="0"/>
        <v>2027</v>
      </c>
      <c r="Q5" s="144">
        <f t="shared" si="0"/>
        <v>2028</v>
      </c>
      <c r="R5" s="144">
        <f t="shared" si="0"/>
        <v>2029</v>
      </c>
      <c r="S5" s="144">
        <f t="shared" si="0"/>
        <v>2030</v>
      </c>
      <c r="T5" s="144">
        <f t="shared" si="0"/>
        <v>2031</v>
      </c>
      <c r="U5" s="144">
        <f t="shared" si="0"/>
        <v>2032</v>
      </c>
      <c r="V5" s="144">
        <f t="shared" si="0"/>
        <v>2033</v>
      </c>
      <c r="W5" s="144">
        <f t="shared" si="0"/>
        <v>2034</v>
      </c>
      <c r="X5" s="144">
        <f t="shared" si="0"/>
        <v>2035</v>
      </c>
    </row>
    <row r="6" spans="1:24" s="145" customFormat="1" x14ac:dyDescent="0.2">
      <c r="A6" s="146"/>
      <c r="B6" s="146"/>
      <c r="C6" s="146"/>
      <c r="D6" s="146"/>
      <c r="E6" s="146"/>
      <c r="F6" s="146"/>
      <c r="G6" s="146"/>
      <c r="H6" s="146"/>
      <c r="I6" s="146"/>
      <c r="J6" s="146"/>
      <c r="K6" s="146"/>
      <c r="L6" s="146"/>
      <c r="M6" s="146"/>
      <c r="N6" s="146"/>
      <c r="O6" s="146"/>
      <c r="P6" s="146"/>
      <c r="Q6" s="146"/>
      <c r="R6" s="146"/>
      <c r="S6" s="146"/>
      <c r="T6" s="146"/>
      <c r="U6" s="146"/>
      <c r="V6" s="146"/>
      <c r="W6" s="146"/>
      <c r="X6" s="146"/>
    </row>
    <row r="7" spans="1:24" s="149" customFormat="1" x14ac:dyDescent="0.2">
      <c r="A7" s="147" t="s">
        <v>6</v>
      </c>
      <c r="B7" s="147"/>
      <c r="C7" s="148"/>
      <c r="D7" s="144"/>
      <c r="E7" s="144"/>
    </row>
    <row r="8" spans="1:24" x14ac:dyDescent="0.2">
      <c r="A8" s="150" t="s">
        <v>7</v>
      </c>
      <c r="B8" s="150"/>
      <c r="C8" s="151">
        <f>'Data Input 1'!N27</f>
        <v>1000</v>
      </c>
      <c r="D8" s="152">
        <f>ROUND(C8*(1+'Data Input 1'!$O$27),0)</f>
        <v>1010</v>
      </c>
      <c r="E8" s="152">
        <f>ROUND(D8*(1+'Data Input 1'!$O$27),0)</f>
        <v>1020</v>
      </c>
      <c r="F8" s="152">
        <f>ROUND(E8*(1+'Data Input 1'!$O$27),0)</f>
        <v>1030</v>
      </c>
      <c r="G8" s="152">
        <f>ROUND(F8*(1+'Data Input 1'!$O$27),0)</f>
        <v>1040</v>
      </c>
      <c r="H8" s="152">
        <f>ROUND(G8*(1+'Data Input 1'!$O$27),0)</f>
        <v>1050</v>
      </c>
      <c r="I8" s="152">
        <f>ROUND(H8*(1+'Data Input 1'!$O$27),0)</f>
        <v>1061</v>
      </c>
      <c r="J8" s="152">
        <f>ROUND(I8*(1+'Data Input 1'!$O$27),0)</f>
        <v>1072</v>
      </c>
      <c r="K8" s="152">
        <f>ROUND(J8*(1+'Data Input 1'!$O$27),0)</f>
        <v>1083</v>
      </c>
      <c r="L8" s="152">
        <f>ROUND(K8*(1+'Data Input 1'!$O$27),0)</f>
        <v>1094</v>
      </c>
      <c r="M8" s="152">
        <f>ROUND(L8*(1+'Data Input 1'!$O$27),0)</f>
        <v>1105</v>
      </c>
      <c r="N8" s="152">
        <f>ROUND(M8*(1+'Data Input 1'!$O$27),0)</f>
        <v>1116</v>
      </c>
      <c r="O8" s="152">
        <f>ROUND(N8*(1+'Data Input 1'!$O$27),0)</f>
        <v>1127</v>
      </c>
      <c r="P8" s="152">
        <f>ROUND(O8*(1+'Data Input 1'!$O$27),0)</f>
        <v>1138</v>
      </c>
      <c r="Q8" s="152">
        <f>ROUND(P8*(1+'Data Input 1'!$O$27),0)</f>
        <v>1149</v>
      </c>
      <c r="R8" s="152">
        <f>ROUND(Q8*(1+'Data Input 1'!$O$27),0)</f>
        <v>1160</v>
      </c>
      <c r="S8" s="152">
        <f>ROUND(R8*(1+'Data Input 1'!$O$27),0)</f>
        <v>1172</v>
      </c>
      <c r="T8" s="152">
        <f>ROUND(S8*(1+'Data Input 1'!$O$27),0)</f>
        <v>1184</v>
      </c>
      <c r="U8" s="152">
        <f>ROUND(T8*(1+'Data Input 1'!$O$27),0)</f>
        <v>1196</v>
      </c>
      <c r="V8" s="152">
        <f>ROUND(U8*(1+'Data Input 1'!$O$27),0)</f>
        <v>1208</v>
      </c>
      <c r="W8" s="152">
        <f>ROUND(V8*(1+'Data Input 1'!$O$27),0)</f>
        <v>1220</v>
      </c>
      <c r="X8" s="152">
        <f>ROUND(W8*(1+'Data Input 1'!$O$27),0)</f>
        <v>1232</v>
      </c>
    </row>
    <row r="9" spans="1:24" x14ac:dyDescent="0.2">
      <c r="A9" s="150" t="s">
        <v>8</v>
      </c>
      <c r="B9" s="150"/>
      <c r="C9" s="151">
        <f>'Data Input 1'!N28</f>
        <v>800</v>
      </c>
      <c r="D9" s="152">
        <f>ROUND(C9*(1+'Data Input 1'!$O$28),0)</f>
        <v>808</v>
      </c>
      <c r="E9" s="152">
        <f>ROUND(D9*(1+'Data Input 1'!$O$28),0)</f>
        <v>816</v>
      </c>
      <c r="F9" s="152">
        <f>ROUND(E9*(1+'Data Input 1'!$O$28),0)</f>
        <v>824</v>
      </c>
      <c r="G9" s="152">
        <f>ROUND(F9*(1+'Data Input 1'!$O$28),0)</f>
        <v>832</v>
      </c>
      <c r="H9" s="152">
        <f>ROUND(G9*(1+'Data Input 1'!$O$28),0)</f>
        <v>840</v>
      </c>
      <c r="I9" s="152">
        <f>ROUND(H9*(1+'Data Input 1'!$O$28),0)</f>
        <v>848</v>
      </c>
      <c r="J9" s="152">
        <f>ROUND(I9*(1+'Data Input 1'!$O$28),0)</f>
        <v>856</v>
      </c>
      <c r="K9" s="152">
        <f>ROUND(J9*(1+'Data Input 1'!$O$28),0)</f>
        <v>865</v>
      </c>
      <c r="L9" s="152">
        <f>ROUND(K9*(1+'Data Input 1'!$O$28),0)</f>
        <v>874</v>
      </c>
      <c r="M9" s="152">
        <f>ROUND(L9*(1+'Data Input 1'!$O$28),0)</f>
        <v>883</v>
      </c>
      <c r="N9" s="152">
        <f>ROUND(M9*(1+'Data Input 1'!$O$28),0)</f>
        <v>892</v>
      </c>
      <c r="O9" s="152">
        <f>ROUND(N9*(1+'Data Input 1'!$O$28),0)</f>
        <v>901</v>
      </c>
      <c r="P9" s="152">
        <f>ROUND(O9*(1+'Data Input 1'!$O$28),0)</f>
        <v>910</v>
      </c>
      <c r="Q9" s="152">
        <f>ROUND(P9*(1+'Data Input 1'!$O$28),0)</f>
        <v>919</v>
      </c>
      <c r="R9" s="152">
        <f>ROUND(Q9*(1+'Data Input 1'!$O$28),0)</f>
        <v>928</v>
      </c>
      <c r="S9" s="152">
        <f>ROUND(R9*(1+'Data Input 1'!$O$28),0)</f>
        <v>937</v>
      </c>
      <c r="T9" s="152">
        <f>ROUND(S9*(1+'Data Input 1'!$O$28),0)</f>
        <v>946</v>
      </c>
      <c r="U9" s="152">
        <f>ROUND(T9*(1+'Data Input 1'!$O$28),0)</f>
        <v>955</v>
      </c>
      <c r="V9" s="152">
        <f>ROUND(U9*(1+'Data Input 1'!$O$28),0)</f>
        <v>965</v>
      </c>
      <c r="W9" s="152">
        <f>ROUND(V9*(1+'Data Input 1'!$O$28),0)</f>
        <v>975</v>
      </c>
      <c r="X9" s="152">
        <f>ROUND(W9*(1+'Data Input 1'!$O$28),0)</f>
        <v>985</v>
      </c>
    </row>
    <row r="10" spans="1:24" x14ac:dyDescent="0.2">
      <c r="A10" s="147" t="s">
        <v>0</v>
      </c>
      <c r="B10" s="153"/>
      <c r="C10" s="144"/>
      <c r="D10" s="151"/>
      <c r="E10" s="151"/>
      <c r="F10" s="151"/>
      <c r="G10" s="151"/>
      <c r="H10" s="151"/>
      <c r="I10" s="151"/>
      <c r="J10" s="151"/>
      <c r="K10" s="151"/>
      <c r="L10" s="151"/>
      <c r="M10" s="151"/>
      <c r="N10" s="151"/>
      <c r="O10" s="151"/>
      <c r="P10" s="151"/>
      <c r="Q10" s="151"/>
      <c r="R10" s="151"/>
      <c r="S10" s="151"/>
      <c r="T10" s="151"/>
      <c r="U10" s="151"/>
      <c r="V10" s="151"/>
      <c r="W10" s="151"/>
      <c r="X10" s="151"/>
    </row>
    <row r="11" spans="1:24" x14ac:dyDescent="0.2">
      <c r="A11" s="150" t="s">
        <v>7</v>
      </c>
      <c r="B11" s="150"/>
      <c r="C11" s="152">
        <f>'Data Input 1'!N30</f>
        <v>200</v>
      </c>
      <c r="D11" s="152">
        <f>ROUND(C11*(1+'Data Input 1'!$O$30),0)</f>
        <v>200</v>
      </c>
      <c r="E11" s="152">
        <f>ROUND(D11*(1+'Data Input 1'!$O$30),0)</f>
        <v>200</v>
      </c>
      <c r="F11" s="152">
        <f>ROUND(E11*(1+'Data Input 1'!$O$30),0)</f>
        <v>200</v>
      </c>
      <c r="G11" s="152">
        <f>ROUND(F11*(1+'Data Input 1'!$O$30),0)</f>
        <v>200</v>
      </c>
      <c r="H11" s="152">
        <f>ROUND(G11*(1+'Data Input 1'!$O$30),0)</f>
        <v>200</v>
      </c>
      <c r="I11" s="152">
        <f>ROUND(H11*(1+'Data Input 1'!$O$30),0)</f>
        <v>200</v>
      </c>
      <c r="J11" s="152">
        <f>ROUND(I11*(1+'Data Input 1'!$O$30),0)</f>
        <v>200</v>
      </c>
      <c r="K11" s="152">
        <f>ROUND(J11*(1+'Data Input 1'!$O$30),0)</f>
        <v>200</v>
      </c>
      <c r="L11" s="152">
        <f>ROUND(K11*(1+'Data Input 1'!$O$30),0)</f>
        <v>200</v>
      </c>
      <c r="M11" s="152">
        <f>ROUND(L11*(1+'Data Input 1'!$O$30),0)</f>
        <v>200</v>
      </c>
      <c r="N11" s="152">
        <f>ROUND(M11*(1+'Data Input 1'!$O$30),0)</f>
        <v>200</v>
      </c>
      <c r="O11" s="152">
        <f>ROUND(N11*(1+'Data Input 1'!$O$30),0)</f>
        <v>200</v>
      </c>
      <c r="P11" s="152">
        <f>ROUND(O11*(1+'Data Input 1'!$O$30),0)</f>
        <v>200</v>
      </c>
      <c r="Q11" s="152">
        <f>ROUND(P11*(1+'Data Input 1'!$O$30),0)</f>
        <v>200</v>
      </c>
      <c r="R11" s="152">
        <f>ROUND(Q11*(1+'Data Input 1'!$O$30),0)</f>
        <v>200</v>
      </c>
      <c r="S11" s="152">
        <f>ROUND(R11*(1+'Data Input 1'!$O$30),0)</f>
        <v>200</v>
      </c>
      <c r="T11" s="152">
        <f>ROUND(S11*(1+'Data Input 1'!$O$30),0)</f>
        <v>200</v>
      </c>
      <c r="U11" s="152">
        <f>ROUND(T11*(1+'Data Input 1'!$O$30),0)</f>
        <v>200</v>
      </c>
      <c r="V11" s="152">
        <f>ROUND(U11*(1+'Data Input 1'!$O$30),0)</f>
        <v>200</v>
      </c>
      <c r="W11" s="152">
        <f>ROUND(V11*(1+'Data Input 1'!$O$30),0)</f>
        <v>200</v>
      </c>
      <c r="X11" s="152">
        <f>ROUND(W11*(1+'Data Input 1'!$O$30),0)</f>
        <v>200</v>
      </c>
    </row>
    <row r="12" spans="1:24" x14ac:dyDescent="0.2">
      <c r="A12" s="150" t="s">
        <v>8</v>
      </c>
      <c r="B12" s="150"/>
      <c r="C12" s="152">
        <f>'Data Input 1'!N31</f>
        <v>80</v>
      </c>
      <c r="D12" s="152">
        <f>ROUND(C12*(1+'Data Input 1'!$O$31),0)</f>
        <v>80</v>
      </c>
      <c r="E12" s="152">
        <f>ROUND(D12*(1+'Data Input 1'!$O$31),0)</f>
        <v>80</v>
      </c>
      <c r="F12" s="152">
        <f>ROUND(E12*(1+'Data Input 1'!$O$31),0)</f>
        <v>80</v>
      </c>
      <c r="G12" s="152">
        <f>ROUND(F12*(1+'Data Input 1'!$O$31),0)</f>
        <v>80</v>
      </c>
      <c r="H12" s="152">
        <f>ROUND(G12*(1+'Data Input 1'!$O$31),0)</f>
        <v>80</v>
      </c>
      <c r="I12" s="152">
        <f>ROUND(H12*(1+'Data Input 1'!$O$31),0)</f>
        <v>80</v>
      </c>
      <c r="J12" s="152">
        <f>ROUND(I12*(1+'Data Input 1'!$O$31),0)</f>
        <v>80</v>
      </c>
      <c r="K12" s="152">
        <f>ROUND(J12*(1+'Data Input 1'!$O$31),0)</f>
        <v>80</v>
      </c>
      <c r="L12" s="152">
        <f>ROUND(K12*(1+'Data Input 1'!$O$31),0)</f>
        <v>80</v>
      </c>
      <c r="M12" s="152">
        <f>ROUND(L12*(1+'Data Input 1'!$O$31),0)</f>
        <v>80</v>
      </c>
      <c r="N12" s="152">
        <f>ROUND(M12*(1+'Data Input 1'!$O$31),0)</f>
        <v>80</v>
      </c>
      <c r="O12" s="152">
        <f>ROUND(N12*(1+'Data Input 1'!$O$31),0)</f>
        <v>80</v>
      </c>
      <c r="P12" s="152">
        <f>ROUND(O12*(1+'Data Input 1'!$O$31),0)</f>
        <v>80</v>
      </c>
      <c r="Q12" s="152">
        <f>ROUND(P12*(1+'Data Input 1'!$O$31),0)</f>
        <v>80</v>
      </c>
      <c r="R12" s="152">
        <f>ROUND(Q12*(1+'Data Input 1'!$O$31),0)</f>
        <v>80</v>
      </c>
      <c r="S12" s="152">
        <f>ROUND(R12*(1+'Data Input 1'!$O$31),0)</f>
        <v>80</v>
      </c>
      <c r="T12" s="152">
        <f>ROUND(S12*(1+'Data Input 1'!$O$31),0)</f>
        <v>80</v>
      </c>
      <c r="U12" s="152">
        <f>ROUND(T12*(1+'Data Input 1'!$O$31),0)</f>
        <v>80</v>
      </c>
      <c r="V12" s="152">
        <f>ROUND(U12*(1+'Data Input 1'!$O$31),0)</f>
        <v>80</v>
      </c>
      <c r="W12" s="152">
        <f>ROUND(V12*(1+'Data Input 1'!$O$31),0)</f>
        <v>80</v>
      </c>
      <c r="X12" s="152">
        <f>ROUND(W12*(1+'Data Input 1'!$O$31),0)</f>
        <v>80</v>
      </c>
    </row>
    <row r="13" spans="1:24" x14ac:dyDescent="0.2">
      <c r="A13" s="147" t="s">
        <v>27</v>
      </c>
      <c r="B13" s="154"/>
      <c r="C13" s="144"/>
      <c r="D13" s="151"/>
      <c r="E13" s="151"/>
      <c r="F13" s="151"/>
      <c r="G13" s="151"/>
      <c r="H13" s="151"/>
      <c r="I13" s="151"/>
      <c r="J13" s="151"/>
      <c r="K13" s="151"/>
      <c r="L13" s="151"/>
      <c r="M13" s="151"/>
      <c r="N13" s="151"/>
      <c r="O13" s="151"/>
      <c r="P13" s="151"/>
      <c r="Q13" s="151"/>
      <c r="R13" s="151"/>
      <c r="S13" s="151"/>
      <c r="T13" s="151"/>
      <c r="U13" s="151"/>
      <c r="V13" s="151"/>
      <c r="W13" s="151"/>
      <c r="X13" s="151"/>
    </row>
    <row r="14" spans="1:24" x14ac:dyDescent="0.2">
      <c r="A14" s="150" t="s">
        <v>45</v>
      </c>
      <c r="B14" s="154"/>
      <c r="C14" s="152">
        <f>'Data Input 1'!N33</f>
        <v>50</v>
      </c>
      <c r="D14" s="152">
        <f>ROUND(C14*(1+'Data Input 1'!$O$33),0)</f>
        <v>51</v>
      </c>
      <c r="E14" s="152">
        <f>ROUND(D14*(1+'Data Input 1'!$O$33),0)</f>
        <v>52</v>
      </c>
      <c r="F14" s="152">
        <f>ROUND(E14*(1+'Data Input 1'!$O$33),0)</f>
        <v>53</v>
      </c>
      <c r="G14" s="152">
        <f>ROUND(F14*(1+'Data Input 1'!$O$33),0)</f>
        <v>54</v>
      </c>
      <c r="H14" s="152">
        <f>ROUND(G14*(1+'Data Input 1'!$O$33),0)</f>
        <v>55</v>
      </c>
      <c r="I14" s="152">
        <f>ROUND(H14*(1+'Data Input 1'!$O$33),0)</f>
        <v>56</v>
      </c>
      <c r="J14" s="152">
        <f>ROUND(I14*(1+'Data Input 1'!$O$33),0)</f>
        <v>57</v>
      </c>
      <c r="K14" s="152">
        <f>ROUND(J14*(1+'Data Input 1'!$O$33),0)</f>
        <v>58</v>
      </c>
      <c r="L14" s="152">
        <f>ROUND(K14*(1+'Data Input 1'!$O$33),0)</f>
        <v>59</v>
      </c>
      <c r="M14" s="152">
        <f>ROUND(L14*(1+'Data Input 1'!$O$33),0)</f>
        <v>60</v>
      </c>
      <c r="N14" s="152">
        <f>ROUND(M14*(1+'Data Input 1'!$O$33),0)</f>
        <v>61</v>
      </c>
      <c r="O14" s="152">
        <f>ROUND(N14*(1+'Data Input 1'!$O$33),0)</f>
        <v>62</v>
      </c>
      <c r="P14" s="152">
        <f>ROUND(O14*(1+'Data Input 1'!$O$33),0)</f>
        <v>63</v>
      </c>
      <c r="Q14" s="152">
        <f>ROUND(P14*(1+'Data Input 1'!$O$33),0)</f>
        <v>64</v>
      </c>
      <c r="R14" s="152">
        <f>ROUND(Q14*(1+'Data Input 1'!$O$33),0)</f>
        <v>65</v>
      </c>
      <c r="S14" s="152">
        <f>ROUND(R14*(1+'Data Input 1'!$O$33),0)</f>
        <v>66</v>
      </c>
      <c r="T14" s="152">
        <f>ROUND(S14*(1+'Data Input 1'!$O$33),0)</f>
        <v>67</v>
      </c>
      <c r="U14" s="152">
        <f>ROUND(T14*(1+'Data Input 1'!$O$33),0)</f>
        <v>68</v>
      </c>
      <c r="V14" s="152">
        <f>ROUND(U14*(1+'Data Input 1'!$O$33),0)</f>
        <v>69</v>
      </c>
      <c r="W14" s="152">
        <f>ROUND(V14*(1+'Data Input 1'!$O$33),0)</f>
        <v>70</v>
      </c>
      <c r="X14" s="152">
        <f>ROUND(W14*(1+'Data Input 1'!$O$33),0)</f>
        <v>71</v>
      </c>
    </row>
    <row r="15" spans="1:24" x14ac:dyDescent="0.2">
      <c r="A15" s="155"/>
      <c r="B15" s="154"/>
      <c r="D15" s="151"/>
      <c r="E15" s="156"/>
      <c r="F15" s="156"/>
      <c r="G15" s="156"/>
      <c r="H15" s="156"/>
      <c r="I15" s="156"/>
      <c r="J15" s="156"/>
      <c r="K15" s="156"/>
      <c r="L15" s="156"/>
      <c r="M15" s="156"/>
      <c r="N15" s="156"/>
    </row>
    <row r="16" spans="1:24" x14ac:dyDescent="0.2">
      <c r="A16" s="145" t="s">
        <v>46</v>
      </c>
      <c r="B16" s="154"/>
      <c r="D16" s="151"/>
      <c r="E16" s="156"/>
      <c r="F16" s="156"/>
      <c r="G16" s="156"/>
      <c r="H16" s="156"/>
      <c r="I16" s="156"/>
      <c r="J16" s="156"/>
      <c r="K16" s="156"/>
      <c r="L16" s="156"/>
      <c r="M16" s="156"/>
      <c r="N16" s="156"/>
    </row>
    <row r="17" spans="1:24" outlineLevel="1" x14ac:dyDescent="0.2">
      <c r="A17" s="150" t="str">
        <f>"Residential Water Block 1 (" &amp;'Data Input 1'!B10 &amp;" to " &amp;'Data Input 1'!D10 &amp;" gal/month):"</f>
        <v>Residential Water Block 1 (0 to 3000 gal/month):</v>
      </c>
      <c r="B17" s="157">
        <f>'Data Input 2'!D11</f>
        <v>1500000</v>
      </c>
      <c r="C17" s="158">
        <f>B17*12</f>
        <v>18000000</v>
      </c>
      <c r="D17" s="151">
        <f>IF(OR(C$8=0,'Data Input 1'!$F10=0),0,MAX((C17*(1+('Data Input 2'!$K$35*10*(('Data Input 1'!$G10-'Data Input 1'!$F10)/'Data Input 1'!$F10)))*(1+'Data Input 2'!$K$34)*D$8/C$8),0))</f>
        <v>18673132.5</v>
      </c>
      <c r="E17" s="151">
        <f>IF(D$8=0,0,MAX((D17*(1+'Data Input 2'!$K$34)*E$8/D$8),0))</f>
        <v>18669434.850000001</v>
      </c>
      <c r="F17" s="151">
        <f>IF(E$8=0,0,MAX((E17*(1+'Data Input 2'!$K$34)*F$8/E$8),0))</f>
        <v>18663943.839750003</v>
      </c>
      <c r="G17" s="151">
        <f>IF(F$8=0,0,MAX((F17*(1+'Data Input 2'!$K$34)*G$8/F$8),0))</f>
        <v>18656695.706220001</v>
      </c>
      <c r="H17" s="151">
        <f>IF(G$8=0,0,MAX((G17*(1+'Data Input 2'!$K$34)*H$8/G$8),0))</f>
        <v>18647726.140976626</v>
      </c>
      <c r="I17" s="151">
        <f>IF(H$8=0,0,MAX((H17*(1+'Data Input 2'!$K$34)*I$8/H$8),0))</f>
        <v>18654652.439257558</v>
      </c>
      <c r="J17" s="151">
        <f>IF(I$8=0,0,MAX((I17*(1+'Data Input 2'!$K$34)*J$8/I$8),0))</f>
        <v>18659575.438958779</v>
      </c>
      <c r="K17" s="151">
        <f>IF(J$8=0,0,MAX((J17*(1+'Data Input 2'!$K$34)*K$8/J$8),0))</f>
        <v>18662534.51342205</v>
      </c>
      <c r="L17" s="151">
        <f>IF(K$8=0,0,MAX((K17*(1+'Data Input 2'!$K$34)*L$8/K$8),0))</f>
        <v>18663568.448852155</v>
      </c>
      <c r="M17" s="151">
        <f>IF(L$8=0,0,MAX((L17*(1+'Data Input 2'!$K$34)*M$8/L$8),0))</f>
        <v>18662715.452122319</v>
      </c>
      <c r="N17" s="151">
        <f>IF(M$8=0,0,MAX((M17*(1+'Data Input 2'!$K$34)*N$8/M$8),0))</f>
        <v>18660013.15848219</v>
      </c>
      <c r="O17" s="151">
        <f>IF(N$8=0,0,MAX((N17*(1+'Data Input 2'!$K$34)*O$8/N$8),0))</f>
        <v>18655498.639169652</v>
      </c>
      <c r="P17" s="151">
        <f>IF(O$8=0,0,MAX((O17*(1+'Data Input 2'!$K$34)*P$8/O$8),0))</f>
        <v>18649208.408927519</v>
      </c>
      <c r="Q17" s="151">
        <f>IF(P$8=0,0,MAX((P17*(1+'Data Input 2'!$K$34)*Q$8/P$8),0))</f>
        <v>18641178.433426313</v>
      </c>
      <c r="R17" s="151">
        <f>IF(Q$8=0,0,MAX((Q17*(1+'Data Input 2'!$K$34)*R$8/Q$8),0))</f>
        <v>18631444.136594236</v>
      </c>
      <c r="S17" s="151">
        <f>IF(R$8=0,0,MAX((R17*(1+'Data Input 2'!$K$34)*S$8/R$8),0))</f>
        <v>18635941.381730653</v>
      </c>
      <c r="T17" s="151">
        <f>IF(S$8=0,0,MAX((S17*(1+'Data Input 2'!$K$34)*T$8/S$8),0))</f>
        <v>18638485.537550684</v>
      </c>
      <c r="U17" s="151">
        <f>IF(T$8=0,0,MAX((T17*(1+'Data Input 2'!$K$34)*U$8/T$8),0))</f>
        <v>18639115.216116142</v>
      </c>
      <c r="V17" s="151">
        <f>IF(U$8=0,0,MAX((U17*(1+'Data Input 2'!$K$34)*V$8/U$8),0))</f>
        <v>18637868.452556532</v>
      </c>
      <c r="W17" s="151">
        <f>IF(V$8=0,0,MAX((V17*(1+'Data Input 2'!$K$34)*W$8/V$8),0))</f>
        <v>18634782.712746505</v>
      </c>
      <c r="X17" s="151">
        <f>IF(W$8=0,0,MAX((W17*(1+'Data Input 2'!$K$34)*X$8/W$8),0))</f>
        <v>18629894.900887422</v>
      </c>
    </row>
    <row r="18" spans="1:24" outlineLevel="1" x14ac:dyDescent="0.2">
      <c r="A18" s="150" t="str">
        <f>"Residential Water Block 2 (" &amp;'Data Input 1'!B11 &amp;" to " &amp;'Data Input 1'!D11 &amp;" gal/month):"</f>
        <v>Residential Water Block 2 (3001 to 8000 gal/month):</v>
      </c>
      <c r="B18" s="157">
        <f>'Data Input 2'!D12</f>
        <v>3000000</v>
      </c>
      <c r="C18" s="158">
        <f t="shared" ref="C18:C21" si="1">B18*12</f>
        <v>36000000</v>
      </c>
      <c r="D18" s="151">
        <f>IF(OR(C$8=0,'Data Input 1'!$F11=0),0,MAX((C18*(1+('Data Input 2'!$K$35*10*(('Data Input 1'!$G11-'Data Input 1'!$F11)/'Data Input 1'!$F11)))*(1+'Data Input 2'!$K$34)*D$8/C$8),0))</f>
        <v>34646535</v>
      </c>
      <c r="E18" s="151">
        <f>IF(D$8=0,0,MAX((D18*(1+'Data Input 2'!$K$34)*E$8/D$8),0))</f>
        <v>34639674.299999997</v>
      </c>
      <c r="F18" s="151">
        <f>IF(E$8=0,0,MAX((E18*(1+'Data Input 2'!$K$34)*F$8/E$8),0))</f>
        <v>34629486.160499997</v>
      </c>
      <c r="G18" s="151">
        <f>IF(F$8=0,0,MAX((F18*(1+'Data Input 2'!$K$34)*G$8/F$8),0))</f>
        <v>34616037.816359989</v>
      </c>
      <c r="H18" s="151">
        <f>IF(G$8=0,0,MAX((G18*(1+'Data Input 2'!$K$34)*H$8/G$8),0))</f>
        <v>34599395.490486741</v>
      </c>
      <c r="I18" s="151">
        <f>IF(H$8=0,0,MAX((H18*(1+'Data Input 2'!$K$34)*I$8/H$8),0))</f>
        <v>34612246.694526061</v>
      </c>
      <c r="J18" s="151">
        <f>IF(I$8=0,0,MAX((I18*(1+'Data Input 2'!$K$34)*J$8/I$8),0))</f>
        <v>34621380.934935555</v>
      </c>
      <c r="K18" s="151">
        <f>IF(J$8=0,0,MAX((J18*(1+'Data Input 2'!$K$34)*K$8/J$8),0))</f>
        <v>34626871.265867397</v>
      </c>
      <c r="L18" s="151">
        <f>IF(K$8=0,0,MAX((K18*(1+'Data Input 2'!$K$34)*L$8/K$8),0))</f>
        <v>34628789.652087115</v>
      </c>
      <c r="M18" s="151">
        <f>IF(L$8=0,0,MAX((L18*(1+'Data Input 2'!$K$34)*M$8/L$8),0))</f>
        <v>34627206.983455852</v>
      </c>
      <c r="N18" s="151">
        <f>IF(M$8=0,0,MAX((M18*(1+'Data Input 2'!$K$34)*N$8/M$8),0))</f>
        <v>34622193.089232005</v>
      </c>
      <c r="O18" s="151">
        <f>IF(N$8=0,0,MAX((N18*(1+'Data Input 2'!$K$34)*O$8/N$8),0))</f>
        <v>34613816.752194293</v>
      </c>
      <c r="P18" s="151">
        <f>IF(O$8=0,0,MAX((O18*(1+'Data Input 2'!$K$34)*P$8/O$8),0))</f>
        <v>34602145.722588405</v>
      </c>
      <c r="Q18" s="151">
        <f>IF(P$8=0,0,MAX((P18*(1+'Data Input 2'!$K$34)*Q$8/P$8),0))</f>
        <v>34587246.731899425</v>
      </c>
      <c r="R18" s="151">
        <f>IF(Q$8=0,0,MAX((Q18*(1+'Data Input 2'!$K$34)*R$8/Q$8),0))</f>
        <v>34569185.506451957</v>
      </c>
      <c r="S18" s="151">
        <f>IF(R$8=0,0,MAX((R18*(1+'Data Input 2'!$K$34)*S$8/R$8),0))</f>
        <v>34577529.792608686</v>
      </c>
      <c r="T18" s="151">
        <f>IF(S$8=0,0,MAX((S18*(1+'Data Input 2'!$K$34)*T$8/S$8),0))</f>
        <v>34582250.27449163</v>
      </c>
      <c r="U18" s="151">
        <f>IF(T$8=0,0,MAX((T18*(1+'Data Input 2'!$K$34)*U$8/T$8),0))</f>
        <v>34583418.593757659</v>
      </c>
      <c r="V18" s="151">
        <f>IF(U$8=0,0,MAX((U18*(1+'Data Input 2'!$K$34)*V$8/U$8),0))</f>
        <v>34581105.32161092</v>
      </c>
      <c r="W18" s="151">
        <f>IF(V$8=0,0,MAX((V18*(1+'Data Input 2'!$K$34)*W$8/V$8),0))</f>
        <v>34575379.973047741</v>
      </c>
      <c r="X18" s="151">
        <f>IF(W$8=0,0,MAX((W18*(1+'Data Input 2'!$K$34)*X$8/W$8),0))</f>
        <v>34566311.020923659</v>
      </c>
    </row>
    <row r="19" spans="1:24" outlineLevel="1" x14ac:dyDescent="0.2">
      <c r="A19" s="150" t="str">
        <f>"Residential Water Block 3 (" &amp;'Data Input 1'!B12 &amp;" to " &amp;'Data Input 1'!D12 &amp;" gal/month):"</f>
        <v>Residential Water Block 3 (0 to 0 gal/month):</v>
      </c>
      <c r="B19" s="157">
        <f>'Data Input 2'!D13</f>
        <v>0</v>
      </c>
      <c r="C19" s="158">
        <f t="shared" si="1"/>
        <v>0</v>
      </c>
      <c r="D19" s="151">
        <f>IF(OR(C$8=0,'Data Input 1'!$F12=0),0,MAX((C19*(1+('Data Input 2'!$K$35*10*(('Data Input 1'!$G12-'Data Input 1'!$F12)/'Data Input 1'!$F12)))*(1+'Data Input 2'!$K$34)*D$8/C$8),0))</f>
        <v>0</v>
      </c>
      <c r="E19" s="151">
        <f>IF(D$8=0,0,MAX((D19*(1+'Data Input 2'!$K$34)*E$8/D$8),0))</f>
        <v>0</v>
      </c>
      <c r="F19" s="151">
        <f>IF(E$8=0,0,MAX((E19*(1+'Data Input 2'!$K$34)*F$8/E$8),0))</f>
        <v>0</v>
      </c>
      <c r="G19" s="151">
        <f>IF(F$8=0,0,MAX((F19*(1+'Data Input 2'!$K$34)*G$8/F$8),0))</f>
        <v>0</v>
      </c>
      <c r="H19" s="151">
        <f>IF(G$8=0,0,MAX((G19*(1+'Data Input 2'!$K$34)*H$8/G$8),0))</f>
        <v>0</v>
      </c>
      <c r="I19" s="151">
        <f>IF(H$8=0,0,MAX((H19*(1+'Data Input 2'!$K$34)*I$8/H$8),0))</f>
        <v>0</v>
      </c>
      <c r="J19" s="151">
        <f>IF(I$8=0,0,MAX((I19*(1+'Data Input 2'!$K$34)*J$8/I$8),0))</f>
        <v>0</v>
      </c>
      <c r="K19" s="151">
        <f>IF(J$8=0,0,MAX((J19*(1+'Data Input 2'!$K$34)*K$8/J$8),0))</f>
        <v>0</v>
      </c>
      <c r="L19" s="151">
        <f>IF(K$8=0,0,MAX((K19*(1+'Data Input 2'!$K$34)*L$8/K$8),0))</f>
        <v>0</v>
      </c>
      <c r="M19" s="151">
        <f>IF(L$8=0,0,MAX((L19*(1+'Data Input 2'!$K$34)*M$8/L$8),0))</f>
        <v>0</v>
      </c>
      <c r="N19" s="151">
        <f>IF(M$8=0,0,MAX((M19*(1+'Data Input 2'!$K$34)*N$8/M$8),0))</f>
        <v>0</v>
      </c>
      <c r="O19" s="151">
        <f>IF(N$8=0,0,MAX((N19*(1+'Data Input 2'!$K$34)*O$8/N$8),0))</f>
        <v>0</v>
      </c>
      <c r="P19" s="151">
        <f>IF(O$8=0,0,MAX((O19*(1+'Data Input 2'!$K$34)*P$8/O$8),0))</f>
        <v>0</v>
      </c>
      <c r="Q19" s="151">
        <f>IF(P$8=0,0,MAX((P19*(1+'Data Input 2'!$K$34)*Q$8/P$8),0))</f>
        <v>0</v>
      </c>
      <c r="R19" s="151">
        <f>IF(Q$8=0,0,MAX((Q19*(1+'Data Input 2'!$K$34)*R$8/Q$8),0))</f>
        <v>0</v>
      </c>
      <c r="S19" s="151">
        <f>IF(R$8=0,0,MAX((R19*(1+'Data Input 2'!$K$34)*S$8/R$8),0))</f>
        <v>0</v>
      </c>
      <c r="T19" s="151">
        <f>IF(S$8=0,0,MAX((S19*(1+'Data Input 2'!$K$34)*T$8/S$8),0))</f>
        <v>0</v>
      </c>
      <c r="U19" s="151">
        <f>IF(T$8=0,0,MAX((T19*(1+'Data Input 2'!$K$34)*U$8/T$8),0))</f>
        <v>0</v>
      </c>
      <c r="V19" s="151">
        <f>IF(U$8=0,0,MAX((U19*(1+'Data Input 2'!$K$34)*V$8/U$8),0))</f>
        <v>0</v>
      </c>
      <c r="W19" s="151">
        <f>IF(V$8=0,0,MAX((V19*(1+'Data Input 2'!$K$34)*W$8/V$8),0))</f>
        <v>0</v>
      </c>
      <c r="X19" s="151">
        <f>IF(W$8=0,0,MAX((W19*(1+'Data Input 2'!$K$34)*X$8/W$8),0))</f>
        <v>0</v>
      </c>
    </row>
    <row r="20" spans="1:24" outlineLevel="1" x14ac:dyDescent="0.2">
      <c r="A20" s="150" t="str">
        <f>"Residential Water Block 4 (" &amp;'Data Input 1'!B13 &amp;" to " &amp;'Data Input 1'!D13 &amp;" gal/month):"</f>
        <v>Residential Water Block 4 (0 to 0 gal/month):</v>
      </c>
      <c r="B20" s="157">
        <f>'Data Input 2'!D14</f>
        <v>0</v>
      </c>
      <c r="C20" s="158">
        <f t="shared" si="1"/>
        <v>0</v>
      </c>
      <c r="D20" s="151">
        <f>IF(OR(C$8=0,'Data Input 1'!$F13=0),0,MAX((C20*(1+('Data Input 2'!$K$35*10*(('Data Input 1'!$G13-'Data Input 1'!$F13)/'Data Input 1'!$F13)))*(1+'Data Input 2'!$K$34)*D$8/C$8),0))</f>
        <v>0</v>
      </c>
      <c r="E20" s="151">
        <f>IF(D$8=0,0,MAX((D20*(1+'Data Input 2'!$K$34)*E$8/D$8),0))</f>
        <v>0</v>
      </c>
      <c r="F20" s="151">
        <f>IF(E$8=0,0,MAX((E20*(1+'Data Input 2'!$K$34)*F$8/E$8),0))</f>
        <v>0</v>
      </c>
      <c r="G20" s="151">
        <f>IF(F$8=0,0,MAX((F20*(1+'Data Input 2'!$K$34)*G$8/F$8),0))</f>
        <v>0</v>
      </c>
      <c r="H20" s="151">
        <f>IF(G$8=0,0,MAX((G20*(1+'Data Input 2'!$K$34)*H$8/G$8),0))</f>
        <v>0</v>
      </c>
      <c r="I20" s="151">
        <f>IF(H$8=0,0,MAX((H20*(1+'Data Input 2'!$K$34)*I$8/H$8),0))</f>
        <v>0</v>
      </c>
      <c r="J20" s="151">
        <f>IF(I$8=0,0,MAX((I20*(1+'Data Input 2'!$K$34)*J$8/I$8),0))</f>
        <v>0</v>
      </c>
      <c r="K20" s="151">
        <f>IF(J$8=0,0,MAX((J20*(1+'Data Input 2'!$K$34)*K$8/J$8),0))</f>
        <v>0</v>
      </c>
      <c r="L20" s="151">
        <f>IF(K$8=0,0,MAX((K20*(1+'Data Input 2'!$K$34)*L$8/K$8),0))</f>
        <v>0</v>
      </c>
      <c r="M20" s="151">
        <f>IF(L$8=0,0,MAX((L20*(1+'Data Input 2'!$K$34)*M$8/L$8),0))</f>
        <v>0</v>
      </c>
      <c r="N20" s="151">
        <f>IF(M$8=0,0,MAX((M20*(1+'Data Input 2'!$K$34)*N$8/M$8),0))</f>
        <v>0</v>
      </c>
      <c r="O20" s="151">
        <f>IF(N$8=0,0,MAX((N20*(1+'Data Input 2'!$K$34)*O$8/N$8),0))</f>
        <v>0</v>
      </c>
      <c r="P20" s="151">
        <f>IF(O$8=0,0,MAX((O20*(1+'Data Input 2'!$K$34)*P$8/O$8),0))</f>
        <v>0</v>
      </c>
      <c r="Q20" s="151">
        <f>IF(P$8=0,0,MAX((P20*(1+'Data Input 2'!$K$34)*Q$8/P$8),0))</f>
        <v>0</v>
      </c>
      <c r="R20" s="151">
        <f>IF(Q$8=0,0,MAX((Q20*(1+'Data Input 2'!$K$34)*R$8/Q$8),0))</f>
        <v>0</v>
      </c>
      <c r="S20" s="151">
        <f>IF(R$8=0,0,MAX((R20*(1+'Data Input 2'!$K$34)*S$8/R$8),0))</f>
        <v>0</v>
      </c>
      <c r="T20" s="151">
        <f>IF(S$8=0,0,MAX((S20*(1+'Data Input 2'!$K$34)*T$8/S$8),0))</f>
        <v>0</v>
      </c>
      <c r="U20" s="151">
        <f>IF(T$8=0,0,MAX((T20*(1+'Data Input 2'!$K$34)*U$8/T$8),0))</f>
        <v>0</v>
      </c>
      <c r="V20" s="151">
        <f>IF(U$8=0,0,MAX((U20*(1+'Data Input 2'!$K$34)*V$8/U$8),0))</f>
        <v>0</v>
      </c>
      <c r="W20" s="151">
        <f>IF(V$8=0,0,MAX((V20*(1+'Data Input 2'!$K$34)*W$8/V$8),0))</f>
        <v>0</v>
      </c>
      <c r="X20" s="151">
        <f>IF(W$8=0,0,MAX((W20*(1+'Data Input 2'!$K$34)*X$8/W$8),0))</f>
        <v>0</v>
      </c>
    </row>
    <row r="21" spans="1:24" outlineLevel="1" x14ac:dyDescent="0.2">
      <c r="A21" s="150" t="str">
        <f>"Residential Water Block 5 (" &amp;'Data Input 1'!B14 &amp;" and above):"</f>
        <v>Residential Water Block 5 (8001 and above):</v>
      </c>
      <c r="B21" s="157">
        <f>'Data Input 2'!D15</f>
        <v>1000000</v>
      </c>
      <c r="C21" s="158">
        <f t="shared" si="1"/>
        <v>12000000</v>
      </c>
      <c r="D21" s="151">
        <f>IF(OR(C$8=0,'Data Input 1'!$F14=0),0,MAX((C21*(1+('Data Input 2'!$K$35*10*(('Data Input 1'!$G14-'Data Input 1'!$F14)/'Data Input 1'!$F14)))*(1+'Data Input 2'!$K$34)*D$8/C$8),0))</f>
        <v>7949205.0000000009</v>
      </c>
      <c r="E21" s="151">
        <f>IF(D$8=0,0,MAX((D21*(1+'Data Input 2'!$K$34)*E$8/D$8),0))</f>
        <v>7947630.9000000013</v>
      </c>
      <c r="F21" s="151">
        <f>IF(E$8=0,0,MAX((E21*(1+'Data Input 2'!$K$34)*F$8/E$8),0))</f>
        <v>7945293.3615000015</v>
      </c>
      <c r="G21" s="151">
        <f>IF(F$8=0,0,MAX((F21*(1+'Data Input 2'!$K$34)*G$8/F$8),0))</f>
        <v>7942207.810680001</v>
      </c>
      <c r="H21" s="151">
        <f>IF(G$8=0,0,MAX((G21*(1+'Data Input 2'!$K$34)*H$8/G$8),0))</f>
        <v>7938389.4415402515</v>
      </c>
      <c r="I21" s="151">
        <f>IF(H$8=0,0,MAX((H21*(1+'Data Input 2'!$K$34)*I$8/H$8),0))</f>
        <v>7941337.9861899661</v>
      </c>
      <c r="J21" s="151">
        <f>IF(I$8=0,0,MAX((I21*(1+'Data Input 2'!$K$34)*J$8/I$8),0))</f>
        <v>7943433.7210025331</v>
      </c>
      <c r="K21" s="151">
        <f>IF(J$8=0,0,MAX((J21*(1+'Data Input 2'!$K$34)*K$8/J$8),0))</f>
        <v>7944693.4073202293</v>
      </c>
      <c r="L21" s="151">
        <f>IF(K$8=0,0,MAX((K21*(1+'Data Input 2'!$K$34)*L$8/K$8),0))</f>
        <v>7945133.5565394722</v>
      </c>
      <c r="M21" s="151">
        <f>IF(L$8=0,0,MAX((L21*(1+'Data Input 2'!$K$34)*M$8/L$8),0))</f>
        <v>7944770.433433597</v>
      </c>
      <c r="N21" s="151">
        <f>IF(M$8=0,0,MAX((M21*(1+'Data Input 2'!$K$34)*N$8/M$8),0))</f>
        <v>7943620.0594341848</v>
      </c>
      <c r="O21" s="151">
        <f>IF(N$8=0,0,MAX((N21*(1+'Data Input 2'!$K$34)*O$8/N$8),0))</f>
        <v>7941698.2158714179</v>
      </c>
      <c r="P21" s="151">
        <f>IF(O$8=0,0,MAX((O21*(1+'Data Input 2'!$K$34)*P$8/O$8),0))</f>
        <v>7939020.4471739642</v>
      </c>
      <c r="Q21" s="151">
        <f>IF(P$8=0,0,MAX((P21*(1+'Data Input 2'!$K$34)*Q$8/P$8),0))</f>
        <v>7935602.0640288703</v>
      </c>
      <c r="R21" s="151">
        <f>IF(Q$8=0,0,MAX((Q21*(1+'Data Input 2'!$K$34)*R$8/Q$8),0))</f>
        <v>7931458.146501963</v>
      </c>
      <c r="S21" s="151">
        <f>IF(R$8=0,0,MAX((R21*(1+'Data Input 2'!$K$34)*S$8/R$8),0))</f>
        <v>7933372.6363993939</v>
      </c>
      <c r="T21" s="151">
        <f>IF(S$8=0,0,MAX((S21*(1+'Data Input 2'!$K$34)*T$8/S$8),0))</f>
        <v>7934455.6906842254</v>
      </c>
      <c r="U21" s="151">
        <f>IF(T$8=0,0,MAX((T21*(1+'Data Input 2'!$K$34)*U$8/T$8),0))</f>
        <v>7934723.7466197209</v>
      </c>
      <c r="V21" s="151">
        <f>IF(U$8=0,0,MAX((U21*(1+'Data Input 2'!$K$34)*V$8/U$8),0))</f>
        <v>7934192.9958674386</v>
      </c>
      <c r="W21" s="151">
        <f>IF(V$8=0,0,MAX((V21*(1+'Data Input 2'!$K$34)*W$8/V$8),0))</f>
        <v>7932879.3877555411</v>
      </c>
      <c r="X21" s="151">
        <f>IF(W$8=0,0,MAX((W21*(1+'Data Input 2'!$K$34)*X$8/W$8),0))</f>
        <v>7930798.6325062942</v>
      </c>
    </row>
    <row r="22" spans="1:24" outlineLevel="1" x14ac:dyDescent="0.2">
      <c r="A22" s="159" t="s">
        <v>60</v>
      </c>
      <c r="B22" s="157"/>
      <c r="C22" s="160">
        <f>SUM(C17:C21)</f>
        <v>66000000</v>
      </c>
      <c r="D22" s="160">
        <f t="shared" ref="D22:X22" si="2">SUM(D17:D21)</f>
        <v>61268872.5</v>
      </c>
      <c r="E22" s="160">
        <f t="shared" si="2"/>
        <v>61256740.049999997</v>
      </c>
      <c r="F22" s="160">
        <f t="shared" si="2"/>
        <v>61238723.361749999</v>
      </c>
      <c r="G22" s="160">
        <f t="shared" si="2"/>
        <v>61214941.333259992</v>
      </c>
      <c r="H22" s="160">
        <f t="shared" si="2"/>
        <v>61185511.073003612</v>
      </c>
      <c r="I22" s="160">
        <f t="shared" si="2"/>
        <v>61208237.119973592</v>
      </c>
      <c r="J22" s="160">
        <f t="shared" si="2"/>
        <v>61224390.094896868</v>
      </c>
      <c r="K22" s="160">
        <f t="shared" si="2"/>
        <v>61234099.186609678</v>
      </c>
      <c r="L22" s="160">
        <f t="shared" si="2"/>
        <v>61237491.65747875</v>
      </c>
      <c r="M22" s="160">
        <f t="shared" si="2"/>
        <v>61234692.869011767</v>
      </c>
      <c r="N22" s="160">
        <f t="shared" si="2"/>
        <v>61225826.307148375</v>
      </c>
      <c r="O22" s="160">
        <f t="shared" si="2"/>
        <v>61211013.607235365</v>
      </c>
      <c r="P22" s="160">
        <f t="shared" si="2"/>
        <v>61190374.578689888</v>
      </c>
      <c r="Q22" s="160">
        <f t="shared" si="2"/>
        <v>61164027.229354605</v>
      </c>
      <c r="R22" s="160">
        <f t="shared" si="2"/>
        <v>61132087.789548159</v>
      </c>
      <c r="S22" s="160">
        <f t="shared" si="2"/>
        <v>61146843.810738735</v>
      </c>
      <c r="T22" s="160">
        <f t="shared" si="2"/>
        <v>61155191.50272654</v>
      </c>
      <c r="U22" s="160">
        <f t="shared" si="2"/>
        <v>61157257.556493528</v>
      </c>
      <c r="V22" s="160">
        <f t="shared" si="2"/>
        <v>61153166.770034887</v>
      </c>
      <c r="W22" s="160">
        <f t="shared" si="2"/>
        <v>61143042.073549792</v>
      </c>
      <c r="X22" s="160">
        <f t="shared" si="2"/>
        <v>61127004.554317378</v>
      </c>
    </row>
    <row r="23" spans="1:24" outlineLevel="1" x14ac:dyDescent="0.2">
      <c r="A23" s="150"/>
      <c r="B23" s="161"/>
      <c r="D23" s="151"/>
      <c r="E23" s="151"/>
      <c r="F23" s="151"/>
      <c r="G23" s="151"/>
      <c r="H23" s="151"/>
      <c r="I23" s="151"/>
      <c r="J23" s="151"/>
      <c r="K23" s="151"/>
      <c r="L23" s="151"/>
      <c r="M23" s="151"/>
      <c r="N23" s="151"/>
      <c r="O23" s="151"/>
      <c r="P23" s="151"/>
      <c r="Q23" s="151"/>
      <c r="R23" s="151"/>
      <c r="S23" s="151"/>
      <c r="T23" s="151"/>
      <c r="U23" s="151"/>
      <c r="V23" s="151"/>
      <c r="W23" s="151"/>
      <c r="X23" s="151"/>
    </row>
    <row r="24" spans="1:24" outlineLevel="1" x14ac:dyDescent="0.2">
      <c r="A24" s="150" t="str">
        <f>"Residential Sewer Block 1 (" &amp;'Data Input 1'!B18 &amp;" to " &amp;'Data Input 1'!D18 &amp;" gal/month):"</f>
        <v>Residential Sewer Block 1 (0 to 3000 gal/month):</v>
      </c>
      <c r="B24" s="157">
        <f>'Data Input 2'!D17</f>
        <v>1200000</v>
      </c>
      <c r="C24" s="158">
        <f>B24*12</f>
        <v>14400000</v>
      </c>
      <c r="D24" s="162">
        <f>IF(OR(C$9=0,'Data Input 1'!$F18=0),0,MAX((C24*(1+('Data Input 2'!$K$35*10*(('Data Input 1'!$G18-'Data Input 1'!$F18)/'Data Input 1'!$F18)))*(1+'Data Input 2'!$K$34)*D$9/C$9),0))</f>
        <v>14938506.000000002</v>
      </c>
      <c r="E24" s="151">
        <f>IF(D$9=0,0,MAX((D24*(1+'Data Input 2'!$K$34)*E$9/D$9),0))</f>
        <v>14935547.880000001</v>
      </c>
      <c r="F24" s="151">
        <f>IF(E$9=0,0,MAX((E24*(1+'Data Input 2'!$K$34)*F$9/E$9),0))</f>
        <v>14931155.071800001</v>
      </c>
      <c r="G24" s="151">
        <f>IF(F$9=0,0,MAX((F24*(1+'Data Input 2'!$K$34)*G$9/F$9),0))</f>
        <v>14925356.564975999</v>
      </c>
      <c r="H24" s="151">
        <f>IF(G$9=0,0,MAX((G24*(1+'Data Input 2'!$K$34)*H$9/G$9),0))</f>
        <v>14918180.912781298</v>
      </c>
      <c r="I24" s="151">
        <f>IF(H$9=0,0,MAX((H24*(1+'Data Input 2'!$K$34)*I$9/H$9),0))</f>
        <v>14909656.237973994</v>
      </c>
      <c r="J24" s="151">
        <f>IF(I$9=0,0,MAX((I24*(1+'Data Input 2'!$K$34)*J$9/I$9),0))</f>
        <v>14899810.238571558</v>
      </c>
      <c r="K24" s="151">
        <f>IF(J$9=0,0,MAX((J24*(1+'Data Input 2'!$K$34)*K$9/J$9),0))</f>
        <v>14905902.450701814</v>
      </c>
      <c r="L24" s="151">
        <f>IF(K$9=0,0,MAX((K24*(1+'Data Input 2'!$K$34)*L$9/K$9),0))</f>
        <v>14910382.837565608</v>
      </c>
      <c r="M24" s="151">
        <f>IF(L$9=0,0,MAX((L24*(1+'Data Input 2'!$K$34)*M$9/L$9),0))</f>
        <v>14913283.026447056</v>
      </c>
      <c r="N24" s="151">
        <f>IF(M$9=0,0,MAX((M24*(1+'Data Input 2'!$K$34)*N$9/M$9),0))</f>
        <v>14914634.173267119</v>
      </c>
      <c r="O24" s="151">
        <f>IF(N$9=0,0,MAX((N24*(1+'Data Input 2'!$K$34)*O$9/N$9),0))</f>
        <v>14914466.968848137</v>
      </c>
      <c r="P24" s="151">
        <f>IF(O$9=0,0,MAX((O24*(1+'Data Input 2'!$K$34)*P$9/O$9),0))</f>
        <v>14912811.645100208</v>
      </c>
      <c r="Q24" s="151">
        <f>IF(P$9=0,0,MAX((P24*(1+'Data Input 2'!$K$34)*Q$9/P$9),0))</f>
        <v>14909697.98113035</v>
      </c>
      <c r="R24" s="151">
        <f>IF(Q$9=0,0,MAX((Q24*(1+'Data Input 2'!$K$34)*R$9/Q$9),0))</f>
        <v>14905155.309275381</v>
      </c>
      <c r="S24" s="151">
        <f>IF(R$9=0,0,MAX((R24*(1+'Data Input 2'!$K$34)*S$9/R$9),0))</f>
        <v>14899212.521059398</v>
      </c>
      <c r="T24" s="151">
        <f>IF(S$9=0,0,MAX((S24*(1+'Data Input 2'!$K$34)*T$9/S$9),0))</f>
        <v>14891898.073076805</v>
      </c>
      <c r="U24" s="151">
        <f>IF(T$9=0,0,MAX((T24*(1+'Data Input 2'!$K$34)*U$9/T$9),0))</f>
        <v>14883239.992801761</v>
      </c>
      <c r="V24" s="151">
        <f>IF(U$9=0,0,MAX((U24*(1+'Data Input 2'!$K$34)*V$9/U$9),0))</f>
        <v>14888694.583375039</v>
      </c>
      <c r="W24" s="151">
        <f>IF(V$9=0,0,MAX((V24*(1+'Data Input 2'!$K$34)*W$9/V$9),0))</f>
        <v>14892551.758137571</v>
      </c>
      <c r="X24" s="151">
        <f>IF(W$9=0,0,MAX((W24*(1+'Data Input 2'!$K$34)*X$9/W$9),0))</f>
        <v>14894842.919946516</v>
      </c>
    </row>
    <row r="25" spans="1:24" outlineLevel="1" x14ac:dyDescent="0.2">
      <c r="A25" s="150" t="str">
        <f>"Residential Sewer Block 2 (" &amp;'Data Input 1'!B19 &amp;" to " &amp;'Data Input 1'!D19 &amp;" gal/month):"</f>
        <v>Residential Sewer Block 2 (3001 to 8000 gal/month):</v>
      </c>
      <c r="B25" s="157">
        <f>'Data Input 2'!D18</f>
        <v>2400000</v>
      </c>
      <c r="C25" s="158">
        <f t="shared" ref="C25:C28" si="3">B25*12</f>
        <v>28800000</v>
      </c>
      <c r="D25" s="162">
        <f>IF(OR(C$9=0,'Data Input 1'!$F19=0),0,MAX((C25*(1+('Data Input 2'!$K$35*10*(('Data Input 1'!$G19-'Data Input 1'!$F19)/'Data Input 1'!$F19)))*(1+'Data Input 2'!$K$34)*D$9/C$9),0))</f>
        <v>27717228</v>
      </c>
      <c r="E25" s="151">
        <f>IF(D$9=0,0,MAX((D25*(1+'Data Input 2'!$K$34)*E$9/D$9),0))</f>
        <v>27711739.440000001</v>
      </c>
      <c r="F25" s="151">
        <f>IF(E$9=0,0,MAX((E25*(1+'Data Input 2'!$K$34)*F$9/E$9),0))</f>
        <v>27703588.928400002</v>
      </c>
      <c r="G25" s="151">
        <f>IF(F$9=0,0,MAX((F25*(1+'Data Input 2'!$K$34)*G$9/F$9),0))</f>
        <v>27692830.253088001</v>
      </c>
      <c r="H25" s="151">
        <f>IF(G$9=0,0,MAX((G25*(1+'Data Input 2'!$K$34)*H$9/G$9),0))</f>
        <v>27679516.392389398</v>
      </c>
      <c r="I25" s="151">
        <f>IF(H$9=0,0,MAX((H25*(1+'Data Input 2'!$K$34)*I$9/H$9),0))</f>
        <v>27663699.525879461</v>
      </c>
      <c r="J25" s="151">
        <f>IF(I$9=0,0,MAX((I25*(1+'Data Input 2'!$K$34)*J$9/I$9),0))</f>
        <v>27645431.045060486</v>
      </c>
      <c r="K25" s="151">
        <f>IF(J$9=0,0,MAX((J25*(1+'Data Input 2'!$K$34)*K$9/J$9),0))</f>
        <v>27656734.667567227</v>
      </c>
      <c r="L25" s="151">
        <f>IF(K$9=0,0,MAX((K25*(1+'Data Input 2'!$K$34)*L$9/K$9),0))</f>
        <v>27665047.67451933</v>
      </c>
      <c r="M25" s="151">
        <f>IF(L$9=0,0,MAX((L25*(1+'Data Input 2'!$K$34)*M$9/L$9),0))</f>
        <v>27670428.747865632</v>
      </c>
      <c r="N25" s="151">
        <f>IF(M$9=0,0,MAX((M25*(1+'Data Input 2'!$K$34)*N$9/M$9),0))</f>
        <v>27672935.694977559</v>
      </c>
      <c r="O25" s="151">
        <f>IF(N$9=0,0,MAX((N25*(1+'Data Input 2'!$K$34)*O$9/N$9),0))</f>
        <v>27672625.460272461</v>
      </c>
      <c r="P25" s="151">
        <f>IF(O$9=0,0,MAX((O25*(1+'Data Input 2'!$K$34)*P$9/O$9),0))</f>
        <v>27669554.136691961</v>
      </c>
      <c r="Q25" s="151">
        <f>IF(P$9=0,0,MAX((P25*(1+'Data Input 2'!$K$34)*Q$9/P$9),0))</f>
        <v>27663776.97703705</v>
      </c>
      <c r="R25" s="151">
        <f>IF(Q$9=0,0,MAX((Q25*(1+'Data Input 2'!$K$34)*R$9/Q$9),0))</f>
        <v>27655348.405161567</v>
      </c>
      <c r="S25" s="151">
        <f>IF(R$9=0,0,MAX((R25*(1+'Data Input 2'!$K$34)*S$9/R$9),0))</f>
        <v>27644322.02702589</v>
      </c>
      <c r="T25" s="151">
        <f>IF(S$9=0,0,MAX((S25*(1+'Data Input 2'!$K$34)*T$9/S$9),0))</f>
        <v>27630750.641612407</v>
      </c>
      <c r="U25" s="151">
        <f>IF(T$9=0,0,MAX((T25*(1+'Data Input 2'!$K$34)*U$9/T$9),0))</f>
        <v>27614686.251704492</v>
      </c>
      <c r="V25" s="151">
        <f>IF(U$9=0,0,MAX((U25*(1+'Data Input 2'!$K$34)*V$9/U$9),0))</f>
        <v>27624806.81734648</v>
      </c>
      <c r="W25" s="151">
        <f>IF(V$9=0,0,MAX((V25*(1+'Data Input 2'!$K$34)*W$9/V$9),0))</f>
        <v>27631963.503050458</v>
      </c>
      <c r="X25" s="151">
        <f>IF(W$9=0,0,MAX((W25*(1+'Data Input 2'!$K$34)*X$9/W$9),0))</f>
        <v>27636214.57435862</v>
      </c>
    </row>
    <row r="26" spans="1:24" outlineLevel="1" x14ac:dyDescent="0.2">
      <c r="A26" s="150" t="str">
        <f>"Residential Sewer Block 3 (" &amp;'Data Input 1'!B20 &amp;" to " &amp;'Data Input 1'!D20 &amp;" gal/month):"</f>
        <v>Residential Sewer Block 3 (0 to 0 gal/month):</v>
      </c>
      <c r="B26" s="157">
        <f>'Data Input 2'!D19</f>
        <v>0</v>
      </c>
      <c r="C26" s="158">
        <f t="shared" si="3"/>
        <v>0</v>
      </c>
      <c r="D26" s="162">
        <f>IF(OR(C$9=0,'Data Input 1'!$F20=0),0,MAX((C26*(1+('Data Input 2'!$K$35*10*(('Data Input 1'!$G20-'Data Input 1'!$F20)/'Data Input 1'!$F20)))*(1+'Data Input 2'!$K$34)*D$9/C$9),0))</f>
        <v>0</v>
      </c>
      <c r="E26" s="151">
        <f>IF(D$9=0,0,MAX((D26*(1+'Data Input 2'!$K$34)*E$9/D$9),0))</f>
        <v>0</v>
      </c>
      <c r="F26" s="151">
        <f>IF(E$9=0,0,MAX((E26*(1+'Data Input 2'!$K$34)*F$9/E$9),0))</f>
        <v>0</v>
      </c>
      <c r="G26" s="151">
        <f>IF(F$9=0,0,MAX((F26*(1+'Data Input 2'!$K$34)*G$9/F$9),0))</f>
        <v>0</v>
      </c>
      <c r="H26" s="151">
        <f>IF(G$9=0,0,MAX((G26*(1+'Data Input 2'!$K$34)*H$9/G$9),0))</f>
        <v>0</v>
      </c>
      <c r="I26" s="151">
        <f>IF(H$9=0,0,MAX((H26*(1+'Data Input 2'!$K$34)*I$9/H$9),0))</f>
        <v>0</v>
      </c>
      <c r="J26" s="151">
        <f>IF(I$9=0,0,MAX((I26*(1+'Data Input 2'!$K$34)*J$9/I$9),0))</f>
        <v>0</v>
      </c>
      <c r="K26" s="151">
        <f>IF(J$9=0,0,MAX((J26*(1+'Data Input 2'!$K$34)*K$9/J$9),0))</f>
        <v>0</v>
      </c>
      <c r="L26" s="151">
        <f>IF(K$9=0,0,MAX((K26*(1+'Data Input 2'!$K$34)*L$9/K$9),0))</f>
        <v>0</v>
      </c>
      <c r="M26" s="151">
        <f>IF(L$9=0,0,MAX((L26*(1+'Data Input 2'!$K$34)*M$9/L$9),0))</f>
        <v>0</v>
      </c>
      <c r="N26" s="151">
        <f>IF(M$9=0,0,MAX((M26*(1+'Data Input 2'!$K$34)*N$9/M$9),0))</f>
        <v>0</v>
      </c>
      <c r="O26" s="151">
        <f>IF(N$9=0,0,MAX((N26*(1+'Data Input 2'!$K$34)*O$9/N$9),0))</f>
        <v>0</v>
      </c>
      <c r="P26" s="151">
        <f>IF(O$9=0,0,MAX((O26*(1+'Data Input 2'!$K$34)*P$9/O$9),0))</f>
        <v>0</v>
      </c>
      <c r="Q26" s="151">
        <f>IF(P$9=0,0,MAX((P26*(1+'Data Input 2'!$K$34)*Q$9/P$9),0))</f>
        <v>0</v>
      </c>
      <c r="R26" s="151">
        <f>IF(Q$9=0,0,MAX((Q26*(1+'Data Input 2'!$K$34)*R$9/Q$9),0))</f>
        <v>0</v>
      </c>
      <c r="S26" s="151">
        <f>IF(R$9=0,0,MAX((R26*(1+'Data Input 2'!$K$34)*S$9/R$9),0))</f>
        <v>0</v>
      </c>
      <c r="T26" s="151">
        <f>IF(S$9=0,0,MAX((S26*(1+'Data Input 2'!$K$34)*T$9/S$9),0))</f>
        <v>0</v>
      </c>
      <c r="U26" s="151">
        <f>IF(T$9=0,0,MAX((T26*(1+'Data Input 2'!$K$34)*U$9/T$9),0))</f>
        <v>0</v>
      </c>
      <c r="V26" s="151">
        <f>IF(U$9=0,0,MAX((U26*(1+'Data Input 2'!$K$34)*V$9/U$9),0))</f>
        <v>0</v>
      </c>
      <c r="W26" s="151">
        <f>IF(V$9=0,0,MAX((V26*(1+'Data Input 2'!$K$34)*W$9/V$9),0))</f>
        <v>0</v>
      </c>
      <c r="X26" s="151">
        <f>IF(W$9=0,0,MAX((W26*(1+'Data Input 2'!$K$34)*X$9/W$9),0))</f>
        <v>0</v>
      </c>
    </row>
    <row r="27" spans="1:24" outlineLevel="1" x14ac:dyDescent="0.2">
      <c r="A27" s="150" t="str">
        <f>"Residential Sewer Block 4 (" &amp;'Data Input 1'!B21 &amp;" to " &amp;'Data Input 1'!D21 &amp;" gal/month):"</f>
        <v>Residential Sewer Block 4 (0 to 0 gal/month):</v>
      </c>
      <c r="B27" s="157">
        <f>'Data Input 2'!D20</f>
        <v>0</v>
      </c>
      <c r="C27" s="158">
        <f t="shared" si="3"/>
        <v>0</v>
      </c>
      <c r="D27" s="162">
        <f>IF(OR(C$9=0,'Data Input 1'!$F21=0),0,MAX((C27*(1+('Data Input 2'!$K$35*10*(('Data Input 1'!$G21-'Data Input 1'!$F21)/'Data Input 1'!$F21)))*(1+'Data Input 2'!$K$34)*D$9/C$9),0))</f>
        <v>0</v>
      </c>
      <c r="E27" s="151">
        <f>IF(D$9=0,0,MAX((D27*(1+'Data Input 2'!$K$34)*E$9/D$9),0))</f>
        <v>0</v>
      </c>
      <c r="F27" s="151">
        <f>IF(E$9=0,0,MAX((E27*(1+'Data Input 2'!$K$34)*F$9/E$9),0))</f>
        <v>0</v>
      </c>
      <c r="G27" s="151">
        <f>IF(F$9=0,0,MAX((F27*(1+'Data Input 2'!$K$34)*G$9/F$9),0))</f>
        <v>0</v>
      </c>
      <c r="H27" s="151">
        <f>IF(G$9=0,0,MAX((G27*(1+'Data Input 2'!$K$34)*H$9/G$9),0))</f>
        <v>0</v>
      </c>
      <c r="I27" s="151">
        <f>IF(H$9=0,0,MAX((H27*(1+'Data Input 2'!$K$34)*I$9/H$9),0))</f>
        <v>0</v>
      </c>
      <c r="J27" s="151">
        <f>IF(I$9=0,0,MAX((I27*(1+'Data Input 2'!$K$34)*J$9/I$9),0))</f>
        <v>0</v>
      </c>
      <c r="K27" s="151">
        <f>IF(J$9=0,0,MAX((J27*(1+'Data Input 2'!$K$34)*K$9/J$9),0))</f>
        <v>0</v>
      </c>
      <c r="L27" s="151">
        <f>IF(K$9=0,0,MAX((K27*(1+'Data Input 2'!$K$34)*L$9/K$9),0))</f>
        <v>0</v>
      </c>
      <c r="M27" s="151">
        <f>IF(L$9=0,0,MAX((L27*(1+'Data Input 2'!$K$34)*M$9/L$9),0))</f>
        <v>0</v>
      </c>
      <c r="N27" s="151">
        <f>IF(M$9=0,0,MAX((M27*(1+'Data Input 2'!$K$34)*N$9/M$9),0))</f>
        <v>0</v>
      </c>
      <c r="O27" s="151">
        <f>IF(N$9=0,0,MAX((N27*(1+'Data Input 2'!$K$34)*O$9/N$9),0))</f>
        <v>0</v>
      </c>
      <c r="P27" s="151">
        <f>IF(O$9=0,0,MAX((O27*(1+'Data Input 2'!$K$34)*P$9/O$9),0))</f>
        <v>0</v>
      </c>
      <c r="Q27" s="151">
        <f>IF(P$9=0,0,MAX((P27*(1+'Data Input 2'!$K$34)*Q$9/P$9),0))</f>
        <v>0</v>
      </c>
      <c r="R27" s="151">
        <f>IF(Q$9=0,0,MAX((Q27*(1+'Data Input 2'!$K$34)*R$9/Q$9),0))</f>
        <v>0</v>
      </c>
      <c r="S27" s="151">
        <f>IF(R$9=0,0,MAX((R27*(1+'Data Input 2'!$K$34)*S$9/R$9),0))</f>
        <v>0</v>
      </c>
      <c r="T27" s="151">
        <f>IF(S$9=0,0,MAX((S27*(1+'Data Input 2'!$K$34)*T$9/S$9),0))</f>
        <v>0</v>
      </c>
      <c r="U27" s="151">
        <f>IF(T$9=0,0,MAX((T27*(1+'Data Input 2'!$K$34)*U$9/T$9),0))</f>
        <v>0</v>
      </c>
      <c r="V27" s="151">
        <f>IF(U$9=0,0,MAX((U27*(1+'Data Input 2'!$K$34)*V$9/U$9),0))</f>
        <v>0</v>
      </c>
      <c r="W27" s="151">
        <f>IF(V$9=0,0,MAX((V27*(1+'Data Input 2'!$K$34)*W$9/V$9),0))</f>
        <v>0</v>
      </c>
      <c r="X27" s="151">
        <f>IF(W$9=0,0,MAX((W27*(1+'Data Input 2'!$K$34)*X$9/W$9),0))</f>
        <v>0</v>
      </c>
    </row>
    <row r="28" spans="1:24" outlineLevel="1" x14ac:dyDescent="0.2">
      <c r="A28" s="150" t="str">
        <f>"Residential Sewer Block 5 (" &amp;'Data Input 1'!B22 &amp;" and above):"</f>
        <v>Residential Sewer Block 5 (8001 and above):</v>
      </c>
      <c r="B28" s="157">
        <f>'Data Input 2'!D21</f>
        <v>800000</v>
      </c>
      <c r="C28" s="158">
        <f t="shared" si="3"/>
        <v>9600000</v>
      </c>
      <c r="D28" s="162">
        <f>IF(OR(C$9=0,'Data Input 1'!$F22=0),0,MAX((C28*(1+('Data Input 2'!$K$35*10*(('Data Input 1'!$G22-'Data Input 1'!$F22)/'Data Input 1'!$F22)))*(1+'Data Input 2'!$K$34)*D$9/C$9),0))</f>
        <v>6359364.0000000009</v>
      </c>
      <c r="E28" s="151">
        <f>IF(D$9=0,0,MAX((D28*(1+'Data Input 2'!$K$34)*E$9/D$9),0))</f>
        <v>6358104.7200000016</v>
      </c>
      <c r="F28" s="151">
        <f>IF(E$9=0,0,MAX((E28*(1+'Data Input 2'!$K$34)*F$9/E$9),0))</f>
        <v>6356234.6892000018</v>
      </c>
      <c r="G28" s="151">
        <f>IF(F$9=0,0,MAX((F28*(1+'Data Input 2'!$K$34)*G$9/F$9),0))</f>
        <v>6353766.248544002</v>
      </c>
      <c r="H28" s="151">
        <f>IF(G$9=0,0,MAX((G28*(1+'Data Input 2'!$K$34)*H$9/G$9),0))</f>
        <v>6350711.5532322023</v>
      </c>
      <c r="I28" s="151">
        <f>IF(H$9=0,0,MAX((H28*(1+'Data Input 2'!$K$34)*I$9/H$9),0))</f>
        <v>6347082.5752017843</v>
      </c>
      <c r="J28" s="151">
        <f>IF(I$9=0,0,MAX((I28*(1+'Data Input 2'!$K$34)*J$9/I$9),0))</f>
        <v>6342891.1055766512</v>
      </c>
      <c r="K28" s="151">
        <f>IF(J$9=0,0,MAX((J28*(1+'Data Input 2'!$K$34)*K$9/J$9),0))</f>
        <v>6345484.5774072018</v>
      </c>
      <c r="L28" s="151">
        <f>IF(K$9=0,0,MAX((K28*(1+'Data Input 2'!$K$34)*L$9/K$9),0))</f>
        <v>6347391.8906905837</v>
      </c>
      <c r="M28" s="151">
        <f>IF(L$9=0,0,MAX((L28*(1+'Data Input 2'!$K$34)*M$9/L$9),0))</f>
        <v>6348626.509250558</v>
      </c>
      <c r="N28" s="151">
        <f>IF(M$9=0,0,MAX((M28*(1+'Data Input 2'!$K$34)*N$9/M$9),0))</f>
        <v>6349201.6962502636</v>
      </c>
      <c r="O28" s="151">
        <f>IF(N$9=0,0,MAX((N28*(1+'Data Input 2'!$K$34)*O$9/N$9),0))</f>
        <v>6349130.516859049</v>
      </c>
      <c r="P28" s="151">
        <f>IF(O$9=0,0,MAX((O28*(1+'Data Input 2'!$K$34)*P$9/O$9),0))</f>
        <v>6348425.8408860341</v>
      </c>
      <c r="Q28" s="151">
        <f>IF(P$9=0,0,MAX((P28*(1+'Data Input 2'!$K$34)*Q$9/P$9),0))</f>
        <v>6347100.3453807943</v>
      </c>
      <c r="R28" s="151">
        <f>IF(Q$9=0,0,MAX((Q28*(1+'Data Input 2'!$K$34)*R$9/Q$9),0))</f>
        <v>6345166.5172015708</v>
      </c>
      <c r="S28" s="151">
        <f>IF(R$9=0,0,MAX((R28*(1+'Data Input 2'!$K$34)*S$9/R$9),0))</f>
        <v>6342636.6555513935</v>
      </c>
      <c r="T28" s="151">
        <f>IF(S$9=0,0,MAX((S28*(1+'Data Input 2'!$K$34)*T$9/S$9),0))</f>
        <v>6339522.8744824994</v>
      </c>
      <c r="U28" s="151">
        <f>IF(T$9=0,0,MAX((T28*(1+'Data Input 2'!$K$34)*U$9/T$9),0))</f>
        <v>6335837.1053694282</v>
      </c>
      <c r="V28" s="151">
        <f>IF(U$9=0,0,MAX((U28*(1+'Data Input 2'!$K$34)*V$9/U$9),0))</f>
        <v>6338159.1399106625</v>
      </c>
      <c r="W28" s="151">
        <f>IF(V$9=0,0,MAX((V28*(1+'Data Input 2'!$K$34)*W$9/V$9),0))</f>
        <v>6339801.1500505349</v>
      </c>
      <c r="X28" s="151">
        <f>IF(W$9=0,0,MAX((W28*(1+'Data Input 2'!$K$34)*X$9/W$9),0))</f>
        <v>6340776.5040736189</v>
      </c>
    </row>
    <row r="29" spans="1:24" outlineLevel="1" x14ac:dyDescent="0.2">
      <c r="A29" s="159" t="s">
        <v>61</v>
      </c>
      <c r="B29" s="157"/>
      <c r="C29" s="160">
        <f>SUM(C24:C28)</f>
        <v>52800000</v>
      </c>
      <c r="D29" s="160">
        <f t="shared" ref="D29:X29" si="4">SUM(D24:D28)</f>
        <v>49015098</v>
      </c>
      <c r="E29" s="160">
        <f t="shared" si="4"/>
        <v>49005392.039999999</v>
      </c>
      <c r="F29" s="160">
        <f t="shared" si="4"/>
        <v>48990978.689400002</v>
      </c>
      <c r="G29" s="160">
        <f t="shared" si="4"/>
        <v>48971953.066608004</v>
      </c>
      <c r="H29" s="160">
        <f t="shared" si="4"/>
        <v>48948408.8584029</v>
      </c>
      <c r="I29" s="160">
        <f t="shared" si="4"/>
        <v>48920438.33905524</v>
      </c>
      <c r="J29" s="160">
        <f t="shared" si="4"/>
        <v>48888132.389208689</v>
      </c>
      <c r="K29" s="160">
        <f t="shared" si="4"/>
        <v>48908121.695676245</v>
      </c>
      <c r="L29" s="160">
        <f t="shared" si="4"/>
        <v>48922822.402775526</v>
      </c>
      <c r="M29" s="160">
        <f t="shared" si="4"/>
        <v>48932338.283563249</v>
      </c>
      <c r="N29" s="160">
        <f t="shared" si="4"/>
        <v>48936771.564494938</v>
      </c>
      <c r="O29" s="160">
        <f t="shared" si="4"/>
        <v>48936222.945979647</v>
      </c>
      <c r="P29" s="160">
        <f t="shared" si="4"/>
        <v>48930791.622678205</v>
      </c>
      <c r="Q29" s="160">
        <f t="shared" si="4"/>
        <v>48920575.303548202</v>
      </c>
      <c r="R29" s="160">
        <f t="shared" si="4"/>
        <v>48905670.231638521</v>
      </c>
      <c r="S29" s="160">
        <f t="shared" si="4"/>
        <v>48886171.203636684</v>
      </c>
      <c r="T29" s="160">
        <f t="shared" si="4"/>
        <v>48862171.589171708</v>
      </c>
      <c r="U29" s="160">
        <f t="shared" si="4"/>
        <v>48833763.349875681</v>
      </c>
      <c r="V29" s="160">
        <f t="shared" si="4"/>
        <v>48851660.540632181</v>
      </c>
      <c r="W29" s="160">
        <f t="shared" si="4"/>
        <v>48864316.411238566</v>
      </c>
      <c r="X29" s="160">
        <f t="shared" si="4"/>
        <v>48871833.998378754</v>
      </c>
    </row>
    <row r="30" spans="1:24" x14ac:dyDescent="0.2">
      <c r="A30" s="150"/>
      <c r="B30" s="161"/>
      <c r="D30" s="151"/>
      <c r="E30" s="151"/>
      <c r="F30" s="151"/>
      <c r="G30" s="151"/>
      <c r="H30" s="151"/>
      <c r="I30" s="151"/>
      <c r="J30" s="151"/>
      <c r="K30" s="151"/>
      <c r="L30" s="151"/>
      <c r="M30" s="151"/>
      <c r="N30" s="151"/>
      <c r="O30" s="151"/>
      <c r="P30" s="151"/>
      <c r="Q30" s="151"/>
      <c r="R30" s="151"/>
      <c r="S30" s="151"/>
      <c r="T30" s="151"/>
      <c r="U30" s="151"/>
      <c r="V30" s="151"/>
      <c r="W30" s="151"/>
      <c r="X30" s="151"/>
    </row>
    <row r="31" spans="1:24" x14ac:dyDescent="0.2">
      <c r="A31" s="145" t="s">
        <v>47</v>
      </c>
      <c r="B31" s="161"/>
      <c r="D31" s="151"/>
      <c r="E31" s="151"/>
      <c r="F31" s="151"/>
      <c r="G31" s="151"/>
      <c r="H31" s="151"/>
      <c r="I31" s="151"/>
      <c r="J31" s="151"/>
      <c r="K31" s="151"/>
      <c r="L31" s="151"/>
      <c r="M31" s="151"/>
      <c r="N31" s="151"/>
      <c r="O31" s="151"/>
      <c r="P31" s="151"/>
      <c r="Q31" s="151"/>
      <c r="R31" s="151"/>
      <c r="S31" s="151"/>
      <c r="T31" s="151"/>
      <c r="U31" s="151"/>
      <c r="V31" s="151"/>
      <c r="W31" s="151"/>
      <c r="X31" s="151"/>
    </row>
    <row r="32" spans="1:24" outlineLevel="1" x14ac:dyDescent="0.2">
      <c r="A32" s="150" t="str">
        <f>"Commercial Water Block 1 (" &amp;'Data Input 1'!J10 &amp;" to " &amp;'Data Input 1'!L10 &amp;" gal/month):"</f>
        <v>Commercial Water Block 1 (0 to 10000 gal/month):</v>
      </c>
      <c r="B32" s="157">
        <f>'Data Input 2'!D24</f>
        <v>1000000</v>
      </c>
      <c r="C32" s="158">
        <f>B32*12</f>
        <v>12000000</v>
      </c>
      <c r="D32" s="162">
        <f>IF(OR(C$11=0,'Data Input 1'!$N10=0),0,MAX((C32*(1+('Data Input 2'!$K$38*10*(('Data Input 1'!$O10-'Data Input 1'!$N10)/'Data Input 1'!$N10)))*(1+'Data Input 2'!$K$37)*D$11/C$11),0))</f>
        <v>12900000</v>
      </c>
      <c r="E32" s="151">
        <f>IF(D$11=0,0,MAX((D32*(1+'Data Input 2'!$K$37)*E$11/D$11),0))</f>
        <v>12900000</v>
      </c>
      <c r="F32" s="151">
        <f>IF(E$11=0,0,MAX((E32*(1+'Data Input 2'!$K$37)*F$11/E$11),0))</f>
        <v>12900000</v>
      </c>
      <c r="G32" s="151">
        <f>IF(F$11=0,0,MAX((F32*(1+'Data Input 2'!$K$37)*G$11/F$11),0))</f>
        <v>12900000</v>
      </c>
      <c r="H32" s="151">
        <f>IF(G$11=0,0,MAX((G32*(1+'Data Input 2'!$K$37)*H$11/G$11),0))</f>
        <v>12900000</v>
      </c>
      <c r="I32" s="151">
        <f>IF(H$11=0,0,MAX((H32*(1+'Data Input 2'!$K$37)*I$11/H$11),0))</f>
        <v>12900000</v>
      </c>
      <c r="J32" s="151">
        <f>IF(I$11=0,0,MAX((I32*(1+'Data Input 2'!$K$37)*J$11/I$11),0))</f>
        <v>12900000</v>
      </c>
      <c r="K32" s="151">
        <f>IF(J$11=0,0,MAX((J32*(1+'Data Input 2'!$K$37)*K$11/J$11),0))</f>
        <v>12900000</v>
      </c>
      <c r="L32" s="151">
        <f>IF(K$11=0,0,MAX((K32*(1+'Data Input 2'!$K$37)*L$11/K$11),0))</f>
        <v>12900000</v>
      </c>
      <c r="M32" s="151">
        <f>IF(L$11=0,0,MAX((L32*(1+'Data Input 2'!$K$37)*M$11/L$11),0))</f>
        <v>12900000</v>
      </c>
      <c r="N32" s="151">
        <f>IF(M$11=0,0,MAX((M32*(1+'Data Input 2'!$K$37)*N$11/M$11),0))</f>
        <v>12900000</v>
      </c>
      <c r="O32" s="151">
        <f>IF(N$11=0,0,MAX((N32*(1+'Data Input 2'!$K$37)*O$11/N$11),0))</f>
        <v>12900000</v>
      </c>
      <c r="P32" s="151">
        <f>IF(O$11=0,0,MAX((O32*(1+'Data Input 2'!$K$37)*P$11/O$11),0))</f>
        <v>12900000</v>
      </c>
      <c r="Q32" s="151">
        <f>IF(P$11=0,0,MAX((P32*(1+'Data Input 2'!$K$37)*Q$11/P$11),0))</f>
        <v>12900000</v>
      </c>
      <c r="R32" s="151">
        <f>IF(Q$11=0,0,MAX((Q32*(1+'Data Input 2'!$K$37)*R$11/Q$11),0))</f>
        <v>12900000</v>
      </c>
      <c r="S32" s="151">
        <f>IF(R$11=0,0,MAX((R32*(1+'Data Input 2'!$K$37)*S$11/R$11),0))</f>
        <v>12900000</v>
      </c>
      <c r="T32" s="151">
        <f>IF(S$11=0,0,MAX((S32*(1+'Data Input 2'!$K$37)*T$11/S$11),0))</f>
        <v>12900000</v>
      </c>
      <c r="U32" s="151">
        <f>IF(T$11=0,0,MAX((T32*(1+'Data Input 2'!$K$37)*U$11/T$11),0))</f>
        <v>12900000</v>
      </c>
      <c r="V32" s="151">
        <f>IF(U$11=0,0,MAX((U32*(1+'Data Input 2'!$K$37)*V$11/U$11),0))</f>
        <v>12900000</v>
      </c>
      <c r="W32" s="151">
        <f>IF(V$11=0,0,MAX((V32*(1+'Data Input 2'!$K$37)*W$11/V$11),0))</f>
        <v>12900000</v>
      </c>
      <c r="X32" s="151">
        <f>IF(W$11=0,0,MAX((W32*(1+'Data Input 2'!$K$37)*X$11/W$11),0))</f>
        <v>12900000</v>
      </c>
    </row>
    <row r="33" spans="1:24" outlineLevel="1" x14ac:dyDescent="0.2">
      <c r="A33" s="150" t="str">
        <f>"Commercial Water Block 2 (" &amp;'Data Input 1'!J11 &amp;" to " &amp;'Data Input 1'!L11 &amp;" gal/month):"</f>
        <v>Commercial Water Block 2 (10001 to 15000 gal/month):</v>
      </c>
      <c r="B33" s="157">
        <f>'Data Input 2'!D25</f>
        <v>1439000</v>
      </c>
      <c r="C33" s="158">
        <f t="shared" ref="C33:C36" si="5">B33*12</f>
        <v>17268000</v>
      </c>
      <c r="D33" s="162">
        <f>IF(OR(C$11=0,'Data Input 1'!$N11=0),0,MAX((C33*(1+('Data Input 2'!$K$38*10*(('Data Input 1'!$O11-'Data Input 1'!$N11)/'Data Input 1'!$N11)))*(1+'Data Input 2'!$K$37)*D$11/C$11),0))</f>
        <v>17699700</v>
      </c>
      <c r="E33" s="151">
        <f>IF(D$11=0,0,MAX((D33*(1+'Data Input 2'!$K$37)*E$11/D$11),0))</f>
        <v>17699700</v>
      </c>
      <c r="F33" s="151">
        <f>IF(E$11=0,0,MAX((E33*(1+'Data Input 2'!$K$37)*F$11/E$11),0))</f>
        <v>17699700</v>
      </c>
      <c r="G33" s="151">
        <f>IF(F$11=0,0,MAX((F33*(1+'Data Input 2'!$K$37)*G$11/F$11),0))</f>
        <v>17699700</v>
      </c>
      <c r="H33" s="151">
        <f>IF(G$11=0,0,MAX((G33*(1+'Data Input 2'!$K$37)*H$11/G$11),0))</f>
        <v>17699700</v>
      </c>
      <c r="I33" s="151">
        <f>IF(H$11=0,0,MAX((H33*(1+'Data Input 2'!$K$37)*I$11/H$11),0))</f>
        <v>17699700</v>
      </c>
      <c r="J33" s="151">
        <f>IF(I$11=0,0,MAX((I33*(1+'Data Input 2'!$K$37)*J$11/I$11),0))</f>
        <v>17699700</v>
      </c>
      <c r="K33" s="151">
        <f>IF(J$11=0,0,MAX((J33*(1+'Data Input 2'!$K$37)*K$11/J$11),0))</f>
        <v>17699700</v>
      </c>
      <c r="L33" s="151">
        <f>IF(K$11=0,0,MAX((K33*(1+'Data Input 2'!$K$37)*L$11/K$11),0))</f>
        <v>17699700</v>
      </c>
      <c r="M33" s="151">
        <f>IF(L$11=0,0,MAX((L33*(1+'Data Input 2'!$K$37)*M$11/L$11),0))</f>
        <v>17699700</v>
      </c>
      <c r="N33" s="151">
        <f>IF(M$11=0,0,MAX((M33*(1+'Data Input 2'!$K$37)*N$11/M$11),0))</f>
        <v>17699700</v>
      </c>
      <c r="O33" s="151">
        <f>IF(N$11=0,0,MAX((N33*(1+'Data Input 2'!$K$37)*O$11/N$11),0))</f>
        <v>17699700</v>
      </c>
      <c r="P33" s="151">
        <f>IF(O$11=0,0,MAX((O33*(1+'Data Input 2'!$K$37)*P$11/O$11),0))</f>
        <v>17699700</v>
      </c>
      <c r="Q33" s="151">
        <f>IF(P$11=0,0,MAX((P33*(1+'Data Input 2'!$K$37)*Q$11/P$11),0))</f>
        <v>17699700</v>
      </c>
      <c r="R33" s="151">
        <f>IF(Q$11=0,0,MAX((Q33*(1+'Data Input 2'!$K$37)*R$11/Q$11),0))</f>
        <v>17699700</v>
      </c>
      <c r="S33" s="151">
        <f>IF(R$11=0,0,MAX((R33*(1+'Data Input 2'!$K$37)*S$11/R$11),0))</f>
        <v>17699700</v>
      </c>
      <c r="T33" s="151">
        <f>IF(S$11=0,0,MAX((S33*(1+'Data Input 2'!$K$37)*T$11/S$11),0))</f>
        <v>17699700</v>
      </c>
      <c r="U33" s="151">
        <f>IF(T$11=0,0,MAX((T33*(1+'Data Input 2'!$K$37)*U$11/T$11),0))</f>
        <v>17699700</v>
      </c>
      <c r="V33" s="151">
        <f>IF(U$11=0,0,MAX((U33*(1+'Data Input 2'!$K$37)*V$11/U$11),0))</f>
        <v>17699700</v>
      </c>
      <c r="W33" s="151">
        <f>IF(V$11=0,0,MAX((V33*(1+'Data Input 2'!$K$37)*W$11/V$11),0))</f>
        <v>17699700</v>
      </c>
      <c r="X33" s="151">
        <f>IF(W$11=0,0,MAX((W33*(1+'Data Input 2'!$K$37)*X$11/W$11),0))</f>
        <v>17699700</v>
      </c>
    </row>
    <row r="34" spans="1:24" outlineLevel="1" x14ac:dyDescent="0.2">
      <c r="A34" s="150" t="str">
        <f>"Commercial Water Block 3 (" &amp;'Data Input 1'!J12 &amp;" to " &amp;'Data Input 1'!L12 &amp;" gal/month):"</f>
        <v>Commercial Water Block 3 (15001 to 50000 gal/month):</v>
      </c>
      <c r="B34" s="157">
        <f>'Data Input 2'!D26</f>
        <v>2500000</v>
      </c>
      <c r="C34" s="158">
        <f t="shared" si="5"/>
        <v>30000000</v>
      </c>
      <c r="D34" s="162">
        <f>IF(OR(C$11=0,'Data Input 1'!$N12=0),0,MAX((C34*(1+('Data Input 2'!$K$38*10*(('Data Input 1'!$O12-'Data Input 1'!$N12)/'Data Input 1'!$N12)))*(1+'Data Input 2'!$K$37)*D$11/C$11),0))</f>
        <v>27000000</v>
      </c>
      <c r="E34" s="151">
        <f>IF(D$11=0,0,MAX((D34*(1+'Data Input 2'!$K$37)*E$11/D$11),0))</f>
        <v>27000000</v>
      </c>
      <c r="F34" s="151">
        <f>IF(E$11=0,0,MAX((E34*(1+'Data Input 2'!$K$37)*F$11/E$11),0))</f>
        <v>27000000</v>
      </c>
      <c r="G34" s="151">
        <f>IF(F$11=0,0,MAX((F34*(1+'Data Input 2'!$K$37)*G$11/F$11),0))</f>
        <v>27000000</v>
      </c>
      <c r="H34" s="151">
        <f>IF(G$11=0,0,MAX((G34*(1+'Data Input 2'!$K$37)*H$11/G$11),0))</f>
        <v>27000000</v>
      </c>
      <c r="I34" s="151">
        <f>IF(H$11=0,0,MAX((H34*(1+'Data Input 2'!$K$37)*I$11/H$11),0))</f>
        <v>27000000</v>
      </c>
      <c r="J34" s="151">
        <f>IF(I$11=0,0,MAX((I34*(1+'Data Input 2'!$K$37)*J$11/I$11),0))</f>
        <v>27000000</v>
      </c>
      <c r="K34" s="151">
        <f>IF(J$11=0,0,MAX((J34*(1+'Data Input 2'!$K$37)*K$11/J$11),0))</f>
        <v>27000000</v>
      </c>
      <c r="L34" s="151">
        <f>IF(K$11=0,0,MAX((K34*(1+'Data Input 2'!$K$37)*L$11/K$11),0))</f>
        <v>27000000</v>
      </c>
      <c r="M34" s="151">
        <f>IF(L$11=0,0,MAX((L34*(1+'Data Input 2'!$K$37)*M$11/L$11),0))</f>
        <v>27000000</v>
      </c>
      <c r="N34" s="151">
        <f>IF(M$11=0,0,MAX((M34*(1+'Data Input 2'!$K$37)*N$11/M$11),0))</f>
        <v>27000000</v>
      </c>
      <c r="O34" s="151">
        <f>IF(N$11=0,0,MAX((N34*(1+'Data Input 2'!$K$37)*O$11/N$11),0))</f>
        <v>27000000</v>
      </c>
      <c r="P34" s="151">
        <f>IF(O$11=0,0,MAX((O34*(1+'Data Input 2'!$K$37)*P$11/O$11),0))</f>
        <v>27000000</v>
      </c>
      <c r="Q34" s="151">
        <f>IF(P$11=0,0,MAX((P34*(1+'Data Input 2'!$K$37)*Q$11/P$11),0))</f>
        <v>27000000</v>
      </c>
      <c r="R34" s="151">
        <f>IF(Q$11=0,0,MAX((Q34*(1+'Data Input 2'!$K$37)*R$11/Q$11),0))</f>
        <v>27000000</v>
      </c>
      <c r="S34" s="151">
        <f>IF(R$11=0,0,MAX((R34*(1+'Data Input 2'!$K$37)*S$11/R$11),0))</f>
        <v>27000000</v>
      </c>
      <c r="T34" s="151">
        <f>IF(S$11=0,0,MAX((S34*(1+'Data Input 2'!$K$37)*T$11/S$11),0))</f>
        <v>27000000</v>
      </c>
      <c r="U34" s="151">
        <f>IF(T$11=0,0,MAX((T34*(1+'Data Input 2'!$K$37)*U$11/T$11),0))</f>
        <v>27000000</v>
      </c>
      <c r="V34" s="151">
        <f>IF(U$11=0,0,MAX((U34*(1+'Data Input 2'!$K$37)*V$11/U$11),0))</f>
        <v>27000000</v>
      </c>
      <c r="W34" s="151">
        <f>IF(V$11=0,0,MAX((V34*(1+'Data Input 2'!$K$37)*W$11/V$11),0))</f>
        <v>27000000</v>
      </c>
      <c r="X34" s="151">
        <f>IF(W$11=0,0,MAX((W34*(1+'Data Input 2'!$K$37)*X$11/W$11),0))</f>
        <v>27000000</v>
      </c>
    </row>
    <row r="35" spans="1:24" outlineLevel="1" x14ac:dyDescent="0.2">
      <c r="A35" s="150" t="str">
        <f>"Commercial Water Block 4 (" &amp;'Data Input 1'!J13 &amp;" to " &amp;'Data Input 1'!L13 &amp;" gal/month):"</f>
        <v>Commercial Water Block 4 (0 to  gal/month):</v>
      </c>
      <c r="B35" s="157">
        <f>'Data Input 2'!D27</f>
        <v>0</v>
      </c>
      <c r="C35" s="158">
        <f t="shared" si="5"/>
        <v>0</v>
      </c>
      <c r="D35" s="162">
        <f>IF(OR(C$11=0,'Data Input 1'!$N13=0),0,MAX((C35*(1+('Data Input 2'!$K$38*10*(('Data Input 1'!$O13-'Data Input 1'!$N13)/'Data Input 1'!$N13)))*(1+'Data Input 2'!$K$37)*D$11/C$11),0))</f>
        <v>0</v>
      </c>
      <c r="E35" s="151">
        <f>IF(D$11=0,0,MAX((D35*(1+'Data Input 2'!$K$37)*E$11/D$11),0))</f>
        <v>0</v>
      </c>
      <c r="F35" s="151">
        <f>IF(E$11=0,0,MAX((E35*(1+'Data Input 2'!$K$37)*F$11/E$11),0))</f>
        <v>0</v>
      </c>
      <c r="G35" s="151">
        <f>IF(F$11=0,0,MAX((F35*(1+'Data Input 2'!$K$37)*G$11/F$11),0))</f>
        <v>0</v>
      </c>
      <c r="H35" s="151">
        <f>IF(G$11=0,0,MAX((G35*(1+'Data Input 2'!$K$37)*H$11/G$11),0))</f>
        <v>0</v>
      </c>
      <c r="I35" s="151">
        <f>IF(H$11=0,0,MAX((H35*(1+'Data Input 2'!$K$37)*I$11/H$11),0))</f>
        <v>0</v>
      </c>
      <c r="J35" s="151">
        <f>IF(I$11=0,0,MAX((I35*(1+'Data Input 2'!$K$37)*J$11/I$11),0))</f>
        <v>0</v>
      </c>
      <c r="K35" s="151">
        <f>IF(J$11=0,0,MAX((J35*(1+'Data Input 2'!$K$37)*K$11/J$11),0))</f>
        <v>0</v>
      </c>
      <c r="L35" s="151">
        <f>IF(K$11=0,0,MAX((K35*(1+'Data Input 2'!$K$37)*L$11/K$11),0))</f>
        <v>0</v>
      </c>
      <c r="M35" s="151">
        <f>IF(L$11=0,0,MAX((L35*(1+'Data Input 2'!$K$37)*M$11/L$11),0))</f>
        <v>0</v>
      </c>
      <c r="N35" s="151">
        <f>IF(M$11=0,0,MAX((M35*(1+'Data Input 2'!$K$37)*N$11/M$11),0))</f>
        <v>0</v>
      </c>
      <c r="O35" s="151">
        <f>IF(N$11=0,0,MAX((N35*(1+'Data Input 2'!$K$37)*O$11/N$11),0))</f>
        <v>0</v>
      </c>
      <c r="P35" s="151">
        <f>IF(O$11=0,0,MAX((O35*(1+'Data Input 2'!$K$37)*P$11/O$11),0))</f>
        <v>0</v>
      </c>
      <c r="Q35" s="151">
        <f>IF(P$11=0,0,MAX((P35*(1+'Data Input 2'!$K$37)*Q$11/P$11),0))</f>
        <v>0</v>
      </c>
      <c r="R35" s="151">
        <f>IF(Q$11=0,0,MAX((Q35*(1+'Data Input 2'!$K$37)*R$11/Q$11),0))</f>
        <v>0</v>
      </c>
      <c r="S35" s="151">
        <f>IF(R$11=0,0,MAX((R35*(1+'Data Input 2'!$K$37)*S$11/R$11),0))</f>
        <v>0</v>
      </c>
      <c r="T35" s="151">
        <f>IF(S$11=0,0,MAX((S35*(1+'Data Input 2'!$K$37)*T$11/S$11),0))</f>
        <v>0</v>
      </c>
      <c r="U35" s="151">
        <f>IF(T$11=0,0,MAX((T35*(1+'Data Input 2'!$K$37)*U$11/T$11),0))</f>
        <v>0</v>
      </c>
      <c r="V35" s="151">
        <f>IF(U$11=0,0,MAX((U35*(1+'Data Input 2'!$K$37)*V$11/U$11),0))</f>
        <v>0</v>
      </c>
      <c r="W35" s="151">
        <f>IF(V$11=0,0,MAX((V35*(1+'Data Input 2'!$K$37)*W$11/V$11),0))</f>
        <v>0</v>
      </c>
      <c r="X35" s="151">
        <f>IF(W$11=0,0,MAX((W35*(1+'Data Input 2'!$K$37)*X$11/W$11),0))</f>
        <v>0</v>
      </c>
    </row>
    <row r="36" spans="1:24" outlineLevel="1" x14ac:dyDescent="0.2">
      <c r="A36" s="150" t="str">
        <f>"Commercial Water Block 5 (" &amp;'Data Input 1'!J14 &amp;" and above):"</f>
        <v>Commercial Water Block 5 (50001 and above):</v>
      </c>
      <c r="B36" s="157">
        <f>'Data Input 2'!D28</f>
        <v>1000000</v>
      </c>
      <c r="C36" s="158">
        <f t="shared" si="5"/>
        <v>12000000</v>
      </c>
      <c r="D36" s="162">
        <f>IF(OR(C$11=0,'Data Input 1'!$N14=0),0,MAX((C36*(1+('Data Input 2'!$K$38*10*(('Data Input 1'!$O14-'Data Input 1'!$N14)/'Data Input 1'!$N14)))*(1+'Data Input 2'!$K$37)*D$11/C$11),0))</f>
        <v>8100000.0000000009</v>
      </c>
      <c r="E36" s="151">
        <f>IF(D$11=0,0,MAX((D36*(1+'Data Input 2'!$K$37)*E$11/D$11),0))</f>
        <v>8100000.0000000009</v>
      </c>
      <c r="F36" s="151">
        <f>IF(E$11=0,0,MAX((E36*(1+'Data Input 2'!$K$37)*F$11/E$11),0))</f>
        <v>8100000.0000000009</v>
      </c>
      <c r="G36" s="151">
        <f>IF(F$11=0,0,MAX((F36*(1+'Data Input 2'!$K$37)*G$11/F$11),0))</f>
        <v>8100000.0000000009</v>
      </c>
      <c r="H36" s="151">
        <f>IF(G$11=0,0,MAX((G36*(1+'Data Input 2'!$K$37)*H$11/G$11),0))</f>
        <v>8100000.0000000009</v>
      </c>
      <c r="I36" s="151">
        <f>IF(H$11=0,0,MAX((H36*(1+'Data Input 2'!$K$37)*I$11/H$11),0))</f>
        <v>8100000.0000000009</v>
      </c>
      <c r="J36" s="151">
        <f>IF(I$11=0,0,MAX((I36*(1+'Data Input 2'!$K$37)*J$11/I$11),0))</f>
        <v>8100000.0000000009</v>
      </c>
      <c r="K36" s="151">
        <f>IF(J$11=0,0,MAX((J36*(1+'Data Input 2'!$K$37)*K$11/J$11),0))</f>
        <v>8100000.0000000009</v>
      </c>
      <c r="L36" s="151">
        <f>IF(K$11=0,0,MAX((K36*(1+'Data Input 2'!$K$37)*L$11/K$11),0))</f>
        <v>8100000.0000000009</v>
      </c>
      <c r="M36" s="151">
        <f>IF(L$11=0,0,MAX((L36*(1+'Data Input 2'!$K$37)*M$11/L$11),0))</f>
        <v>8100000.0000000009</v>
      </c>
      <c r="N36" s="151">
        <f>IF(M$11=0,0,MAX((M36*(1+'Data Input 2'!$K$37)*N$11/M$11),0))</f>
        <v>8100000.0000000009</v>
      </c>
      <c r="O36" s="151">
        <f>IF(N$11=0,0,MAX((N36*(1+'Data Input 2'!$K$37)*O$11/N$11),0))</f>
        <v>8100000.0000000009</v>
      </c>
      <c r="P36" s="151">
        <f>IF(O$11=0,0,MAX((O36*(1+'Data Input 2'!$K$37)*P$11/O$11),0))</f>
        <v>8100000.0000000009</v>
      </c>
      <c r="Q36" s="151">
        <f>IF(P$11=0,0,MAX((P36*(1+'Data Input 2'!$K$37)*Q$11/P$11),0))</f>
        <v>8100000.0000000009</v>
      </c>
      <c r="R36" s="151">
        <f>IF(Q$11=0,0,MAX((Q36*(1+'Data Input 2'!$K$37)*R$11/Q$11),0))</f>
        <v>8100000.0000000009</v>
      </c>
      <c r="S36" s="151">
        <f>IF(R$11=0,0,MAX((R36*(1+'Data Input 2'!$K$37)*S$11/R$11),0))</f>
        <v>8100000.0000000009</v>
      </c>
      <c r="T36" s="151">
        <f>IF(S$11=0,0,MAX((S36*(1+'Data Input 2'!$K$37)*T$11/S$11),0))</f>
        <v>8100000.0000000009</v>
      </c>
      <c r="U36" s="151">
        <f>IF(T$11=0,0,MAX((T36*(1+'Data Input 2'!$K$37)*U$11/T$11),0))</f>
        <v>8100000.0000000009</v>
      </c>
      <c r="V36" s="151">
        <f>IF(U$11=0,0,MAX((U36*(1+'Data Input 2'!$K$37)*V$11/U$11),0))</f>
        <v>8100000.0000000009</v>
      </c>
      <c r="W36" s="151">
        <f>IF(V$11=0,0,MAX((V36*(1+'Data Input 2'!$K$37)*W$11/V$11),0))</f>
        <v>8100000.0000000009</v>
      </c>
      <c r="X36" s="151">
        <f>IF(W$11=0,0,MAX((W36*(1+'Data Input 2'!$K$37)*X$11/W$11),0))</f>
        <v>8100000.0000000009</v>
      </c>
    </row>
    <row r="37" spans="1:24" outlineLevel="1" x14ac:dyDescent="0.2">
      <c r="A37" s="159" t="s">
        <v>62</v>
      </c>
      <c r="B37" s="157"/>
      <c r="C37" s="160">
        <f>SUM(C32:C36)</f>
        <v>71268000</v>
      </c>
      <c r="D37" s="160">
        <f t="shared" ref="D37:X37" si="6">SUM(D32:D36)</f>
        <v>65699700</v>
      </c>
      <c r="E37" s="160">
        <f t="shared" si="6"/>
        <v>65699700</v>
      </c>
      <c r="F37" s="160">
        <f t="shared" si="6"/>
        <v>65699700</v>
      </c>
      <c r="G37" s="160">
        <f t="shared" si="6"/>
        <v>65699700</v>
      </c>
      <c r="H37" s="160">
        <f t="shared" si="6"/>
        <v>65699700</v>
      </c>
      <c r="I37" s="160">
        <f t="shared" si="6"/>
        <v>65699700</v>
      </c>
      <c r="J37" s="160">
        <f t="shared" si="6"/>
        <v>65699700</v>
      </c>
      <c r="K37" s="160">
        <f t="shared" si="6"/>
        <v>65699700</v>
      </c>
      <c r="L37" s="160">
        <f t="shared" si="6"/>
        <v>65699700</v>
      </c>
      <c r="M37" s="160">
        <f t="shared" si="6"/>
        <v>65699700</v>
      </c>
      <c r="N37" s="160">
        <f t="shared" si="6"/>
        <v>65699700</v>
      </c>
      <c r="O37" s="160">
        <f t="shared" si="6"/>
        <v>65699700</v>
      </c>
      <c r="P37" s="160">
        <f t="shared" si="6"/>
        <v>65699700</v>
      </c>
      <c r="Q37" s="160">
        <f t="shared" si="6"/>
        <v>65699700</v>
      </c>
      <c r="R37" s="160">
        <f t="shared" si="6"/>
        <v>65699700</v>
      </c>
      <c r="S37" s="160">
        <f t="shared" si="6"/>
        <v>65699700</v>
      </c>
      <c r="T37" s="160">
        <f t="shared" si="6"/>
        <v>65699700</v>
      </c>
      <c r="U37" s="160">
        <f t="shared" si="6"/>
        <v>65699700</v>
      </c>
      <c r="V37" s="160">
        <f t="shared" si="6"/>
        <v>65699700</v>
      </c>
      <c r="W37" s="160">
        <f t="shared" si="6"/>
        <v>65699700</v>
      </c>
      <c r="X37" s="160">
        <f t="shared" si="6"/>
        <v>65699700</v>
      </c>
    </row>
    <row r="38" spans="1:24" outlineLevel="1" x14ac:dyDescent="0.2">
      <c r="A38" s="150"/>
      <c r="B38" s="161"/>
      <c r="D38" s="151"/>
      <c r="E38" s="151"/>
      <c r="F38" s="151"/>
      <c r="G38" s="151"/>
      <c r="H38" s="151"/>
      <c r="I38" s="151"/>
      <c r="J38" s="151"/>
      <c r="K38" s="151"/>
      <c r="L38" s="151"/>
      <c r="M38" s="151"/>
      <c r="N38" s="151"/>
      <c r="O38" s="151"/>
      <c r="P38" s="151"/>
      <c r="Q38" s="151"/>
      <c r="R38" s="151"/>
      <c r="S38" s="151"/>
      <c r="T38" s="151"/>
      <c r="U38" s="151"/>
      <c r="V38" s="151"/>
      <c r="W38" s="151"/>
      <c r="X38" s="151"/>
    </row>
    <row r="39" spans="1:24" outlineLevel="1" x14ac:dyDescent="0.2">
      <c r="A39" s="150" t="str">
        <f>"Commercial Sewer Block 1 (" &amp;'Data Input 1'!J18 &amp;" to " &amp;'Data Input 1'!L18 &amp;" gal/month):"</f>
        <v>Commercial Sewer Block 1 (0 to 10000 gal/month):</v>
      </c>
      <c r="B39" s="157">
        <f>'Data Input 2'!D30</f>
        <v>400000</v>
      </c>
      <c r="C39" s="158">
        <f>B39*12</f>
        <v>4800000</v>
      </c>
      <c r="D39" s="162">
        <f>IF(OR(C$12=0,'Data Input 1'!$N18=0),0,MAX((C39*(1+('Data Input 2'!$K$38*10*(('Data Input 1'!$O18-'Data Input 1'!$N18)/'Data Input 1'!$N18)))*(1+'Data Input 2'!$K$37)*D$12/C$12),0))</f>
        <v>5040000</v>
      </c>
      <c r="E39" s="151">
        <f>IF(D$12=0,0,MAX((D39*(1+'Data Input 2'!$K$37)*E$12/D$12),0))</f>
        <v>5040000</v>
      </c>
      <c r="F39" s="151">
        <f>IF(E$12=0,0,MAX((E39*(1+'Data Input 2'!$K$37)*F$12/E$12),0))</f>
        <v>5040000</v>
      </c>
      <c r="G39" s="151">
        <f>IF(F$12=0,0,MAX((F39*(1+'Data Input 2'!$K$37)*G$12/F$12),0))</f>
        <v>5040000</v>
      </c>
      <c r="H39" s="151">
        <f>IF(G$12=0,0,MAX((G39*(1+'Data Input 2'!$K$37)*H$12/G$12),0))</f>
        <v>5040000</v>
      </c>
      <c r="I39" s="151">
        <f>IF(H$12=0,0,MAX((H39*(1+'Data Input 2'!$K$37)*I$12/H$12),0))</f>
        <v>5040000</v>
      </c>
      <c r="J39" s="151">
        <f>IF(I$12=0,0,MAX((I39*(1+'Data Input 2'!$K$37)*J$12/I$12),0))</f>
        <v>5040000</v>
      </c>
      <c r="K39" s="151">
        <f>IF(J$12=0,0,MAX((J39*(1+'Data Input 2'!$K$37)*K$12/J$12),0))</f>
        <v>5040000</v>
      </c>
      <c r="L39" s="151">
        <f>IF(K$12=0,0,MAX((K39*(1+'Data Input 2'!$K$37)*L$12/K$12),0))</f>
        <v>5040000</v>
      </c>
      <c r="M39" s="151">
        <f>IF(L$12=0,0,MAX((L39*(1+'Data Input 2'!$K$37)*M$12/L$12),0))</f>
        <v>5040000</v>
      </c>
      <c r="N39" s="151">
        <f>IF(M$12=0,0,MAX((M39*(1+'Data Input 2'!$K$37)*N$12/M$12),0))</f>
        <v>5040000</v>
      </c>
      <c r="O39" s="151">
        <f>IF(N$12=0,0,MAX((N39*(1+'Data Input 2'!$K$37)*O$12/N$12),0))</f>
        <v>5040000</v>
      </c>
      <c r="P39" s="151">
        <f>IF(O$12=0,0,MAX((O39*(1+'Data Input 2'!$K$37)*P$12/O$12),0))</f>
        <v>5040000</v>
      </c>
      <c r="Q39" s="151">
        <f>IF(P$12=0,0,MAX((P39*(1+'Data Input 2'!$K$37)*Q$12/P$12),0))</f>
        <v>5040000</v>
      </c>
      <c r="R39" s="151">
        <f>IF(Q$12=0,0,MAX((Q39*(1+'Data Input 2'!$K$37)*R$12/Q$12),0))</f>
        <v>5040000</v>
      </c>
      <c r="S39" s="151">
        <f>IF(R$12=0,0,MAX((R39*(1+'Data Input 2'!$K$37)*S$12/R$12),0))</f>
        <v>5040000</v>
      </c>
      <c r="T39" s="151">
        <f>IF(S$12=0,0,MAX((S39*(1+'Data Input 2'!$K$37)*T$12/S$12),0))</f>
        <v>5040000</v>
      </c>
      <c r="U39" s="151">
        <f>IF(T$12=0,0,MAX((T39*(1+'Data Input 2'!$K$37)*U$12/T$12),0))</f>
        <v>5040000</v>
      </c>
      <c r="V39" s="151">
        <f>IF(U$12=0,0,MAX((U39*(1+'Data Input 2'!$K$37)*V$12/U$12),0))</f>
        <v>5040000</v>
      </c>
      <c r="W39" s="151">
        <f>IF(V$12=0,0,MAX((V39*(1+'Data Input 2'!$K$37)*W$12/V$12),0))</f>
        <v>5040000</v>
      </c>
      <c r="X39" s="151">
        <f>IF(W$12=0,0,MAX((W39*(1+'Data Input 2'!$K$37)*X$12/W$12),0))</f>
        <v>5040000</v>
      </c>
    </row>
    <row r="40" spans="1:24" outlineLevel="1" x14ac:dyDescent="0.2">
      <c r="A40" s="150" t="str">
        <f>"Commercial Sewer Block 2 (" &amp;'Data Input 1'!J19 &amp;" to " &amp;'Data Input 1'!L19 &amp;" gal/month):"</f>
        <v>Commercial Sewer Block 2 (10001 to 15000 gal/month):</v>
      </c>
      <c r="B40" s="157">
        <f>'Data Input 2'!D31</f>
        <v>575600</v>
      </c>
      <c r="C40" s="158">
        <f t="shared" ref="C40:C43" si="7">B40*12</f>
        <v>6907200</v>
      </c>
      <c r="D40" s="162">
        <f>IF(OR(C$12=0,'Data Input 1'!$N19=0),0,MAX((C40*(1+('Data Input 2'!$K$38*10*(('Data Input 1'!$O19-'Data Input 1'!$N19)/'Data Input 1'!$N19)))*(1+'Data Input 2'!$K$37)*D$12/C$12),0))</f>
        <v>6907200</v>
      </c>
      <c r="E40" s="151">
        <f>IF(D$12=0,0,MAX((D40*(1+'Data Input 2'!$K$37)*E$12/D$12),0))</f>
        <v>6907200</v>
      </c>
      <c r="F40" s="151">
        <f>IF(E$12=0,0,MAX((E40*(1+'Data Input 2'!$K$37)*F$12/E$12),0))</f>
        <v>6907200</v>
      </c>
      <c r="G40" s="151">
        <f>IF(F$12=0,0,MAX((F40*(1+'Data Input 2'!$K$37)*G$12/F$12),0))</f>
        <v>6907200</v>
      </c>
      <c r="H40" s="151">
        <f>IF(G$12=0,0,MAX((G40*(1+'Data Input 2'!$K$37)*H$12/G$12),0))</f>
        <v>6907200</v>
      </c>
      <c r="I40" s="151">
        <f>IF(H$12=0,0,MAX((H40*(1+'Data Input 2'!$K$37)*I$12/H$12),0))</f>
        <v>6907200</v>
      </c>
      <c r="J40" s="151">
        <f>IF(I$12=0,0,MAX((I40*(1+'Data Input 2'!$K$37)*J$12/I$12),0))</f>
        <v>6907200</v>
      </c>
      <c r="K40" s="151">
        <f>IF(J$12=0,0,MAX((J40*(1+'Data Input 2'!$K$37)*K$12/J$12),0))</f>
        <v>6907200</v>
      </c>
      <c r="L40" s="151">
        <f>IF(K$12=0,0,MAX((K40*(1+'Data Input 2'!$K$37)*L$12/K$12),0))</f>
        <v>6907200</v>
      </c>
      <c r="M40" s="151">
        <f>IF(L$12=0,0,MAX((L40*(1+'Data Input 2'!$K$37)*M$12/L$12),0))</f>
        <v>6907200</v>
      </c>
      <c r="N40" s="151">
        <f>IF(M$12=0,0,MAX((M40*(1+'Data Input 2'!$K$37)*N$12/M$12),0))</f>
        <v>6907200</v>
      </c>
      <c r="O40" s="151">
        <f>IF(N$12=0,0,MAX((N40*(1+'Data Input 2'!$K$37)*O$12/N$12),0))</f>
        <v>6907200</v>
      </c>
      <c r="P40" s="151">
        <f>IF(O$12=0,0,MAX((O40*(1+'Data Input 2'!$K$37)*P$12/O$12),0))</f>
        <v>6907200</v>
      </c>
      <c r="Q40" s="151">
        <f>IF(P$12=0,0,MAX((P40*(1+'Data Input 2'!$K$37)*Q$12/P$12),0))</f>
        <v>6907200</v>
      </c>
      <c r="R40" s="151">
        <f>IF(Q$12=0,0,MAX((Q40*(1+'Data Input 2'!$K$37)*R$12/Q$12),0))</f>
        <v>6907200</v>
      </c>
      <c r="S40" s="151">
        <f>IF(R$12=0,0,MAX((R40*(1+'Data Input 2'!$K$37)*S$12/R$12),0))</f>
        <v>6907200</v>
      </c>
      <c r="T40" s="151">
        <f>IF(S$12=0,0,MAX((S40*(1+'Data Input 2'!$K$37)*T$12/S$12),0))</f>
        <v>6907200</v>
      </c>
      <c r="U40" s="151">
        <f>IF(T$12=0,0,MAX((T40*(1+'Data Input 2'!$K$37)*U$12/T$12),0))</f>
        <v>6907200</v>
      </c>
      <c r="V40" s="151">
        <f>IF(U$12=0,0,MAX((U40*(1+'Data Input 2'!$K$37)*V$12/U$12),0))</f>
        <v>6907200</v>
      </c>
      <c r="W40" s="151">
        <f>IF(V$12=0,0,MAX((V40*(1+'Data Input 2'!$K$37)*W$12/V$12),0))</f>
        <v>6907200</v>
      </c>
      <c r="X40" s="151">
        <f>IF(W$12=0,0,MAX((W40*(1+'Data Input 2'!$K$37)*X$12/W$12),0))</f>
        <v>6907200</v>
      </c>
    </row>
    <row r="41" spans="1:24" outlineLevel="1" x14ac:dyDescent="0.2">
      <c r="A41" s="150" t="str">
        <f>"Commercial Sewer Block 3 (" &amp;'Data Input 1'!J20 &amp;" to " &amp;'Data Input 1'!L20 &amp;" gal/month):"</f>
        <v>Commercial Sewer Block 3 (15001 to 50000 gal/month):</v>
      </c>
      <c r="B41" s="157">
        <f>'Data Input 2'!D32</f>
        <v>1000000</v>
      </c>
      <c r="C41" s="158">
        <f t="shared" si="7"/>
        <v>12000000</v>
      </c>
      <c r="D41" s="162">
        <f>IF(OR(C$12=0,'Data Input 1'!$N20=0),0,MAX((C41*(1+('Data Input 2'!$K$38*10*(('Data Input 1'!$O20-'Data Input 1'!$N20)/'Data Input 1'!$N20)))*(1+'Data Input 2'!$K$37)*D$12/C$12),0))</f>
        <v>10500000</v>
      </c>
      <c r="E41" s="151">
        <f>IF(D$12=0,0,MAX((D41*(1+'Data Input 2'!$K$37)*E$12/D$12),0))</f>
        <v>10500000</v>
      </c>
      <c r="F41" s="151">
        <f>IF(E$12=0,0,MAX((E41*(1+'Data Input 2'!$K$37)*F$12/E$12),0))</f>
        <v>10500000</v>
      </c>
      <c r="G41" s="151">
        <f>IF(F$12=0,0,MAX((F41*(1+'Data Input 2'!$K$37)*G$12/F$12),0))</f>
        <v>10500000</v>
      </c>
      <c r="H41" s="151">
        <f>IF(G$12=0,0,MAX((G41*(1+'Data Input 2'!$K$37)*H$12/G$12),0))</f>
        <v>10500000</v>
      </c>
      <c r="I41" s="151">
        <f>IF(H$12=0,0,MAX((H41*(1+'Data Input 2'!$K$37)*I$12/H$12),0))</f>
        <v>10500000</v>
      </c>
      <c r="J41" s="151">
        <f>IF(I$12=0,0,MAX((I41*(1+'Data Input 2'!$K$37)*J$12/I$12),0))</f>
        <v>10500000</v>
      </c>
      <c r="K41" s="151">
        <f>IF(J$12=0,0,MAX((J41*(1+'Data Input 2'!$K$37)*K$12/J$12),0))</f>
        <v>10500000</v>
      </c>
      <c r="L41" s="151">
        <f>IF(K$12=0,0,MAX((K41*(1+'Data Input 2'!$K$37)*L$12/K$12),0))</f>
        <v>10500000</v>
      </c>
      <c r="M41" s="151">
        <f>IF(L$12=0,0,MAX((L41*(1+'Data Input 2'!$K$37)*M$12/L$12),0))</f>
        <v>10500000</v>
      </c>
      <c r="N41" s="151">
        <f>IF(M$12=0,0,MAX((M41*(1+'Data Input 2'!$K$37)*N$12/M$12),0))</f>
        <v>10500000</v>
      </c>
      <c r="O41" s="151">
        <f>IF(N$12=0,0,MAX((N41*(1+'Data Input 2'!$K$37)*O$12/N$12),0))</f>
        <v>10500000</v>
      </c>
      <c r="P41" s="151">
        <f>IF(O$12=0,0,MAX((O41*(1+'Data Input 2'!$K$37)*P$12/O$12),0))</f>
        <v>10500000</v>
      </c>
      <c r="Q41" s="151">
        <f>IF(P$12=0,0,MAX((P41*(1+'Data Input 2'!$K$37)*Q$12/P$12),0))</f>
        <v>10500000</v>
      </c>
      <c r="R41" s="151">
        <f>IF(Q$12=0,0,MAX((Q41*(1+'Data Input 2'!$K$37)*R$12/Q$12),0))</f>
        <v>10500000</v>
      </c>
      <c r="S41" s="151">
        <f>IF(R$12=0,0,MAX((R41*(1+'Data Input 2'!$K$37)*S$12/R$12),0))</f>
        <v>10500000</v>
      </c>
      <c r="T41" s="151">
        <f>IF(S$12=0,0,MAX((S41*(1+'Data Input 2'!$K$37)*T$12/S$12),0))</f>
        <v>10500000</v>
      </c>
      <c r="U41" s="151">
        <f>IF(T$12=0,0,MAX((T41*(1+'Data Input 2'!$K$37)*U$12/T$12),0))</f>
        <v>10500000</v>
      </c>
      <c r="V41" s="151">
        <f>IF(U$12=0,0,MAX((U41*(1+'Data Input 2'!$K$37)*V$12/U$12),0))</f>
        <v>10500000</v>
      </c>
      <c r="W41" s="151">
        <f>IF(V$12=0,0,MAX((V41*(1+'Data Input 2'!$K$37)*W$12/V$12),0))</f>
        <v>10500000</v>
      </c>
      <c r="X41" s="151">
        <f>IF(W$12=0,0,MAX((W41*(1+'Data Input 2'!$K$37)*X$12/W$12),0))</f>
        <v>10500000</v>
      </c>
    </row>
    <row r="42" spans="1:24" outlineLevel="1" x14ac:dyDescent="0.2">
      <c r="A42" s="150" t="str">
        <f>"Commercial Sewer Block 4 (" &amp;'Data Input 1'!J21 &amp;" to " &amp;'Data Input 1'!L21 &amp;" gal/month):"</f>
        <v>Commercial Sewer Block 4 (0 to  gal/month):</v>
      </c>
      <c r="B42" s="157">
        <f>'Data Input 2'!D33</f>
        <v>0</v>
      </c>
      <c r="C42" s="158">
        <f t="shared" si="7"/>
        <v>0</v>
      </c>
      <c r="D42" s="162">
        <f>IF(OR(C$12=0,'Data Input 1'!$N21=0),0,MAX((C42*(1+('Data Input 2'!$K$38*10*(('Data Input 1'!$O21-'Data Input 1'!$N21)/'Data Input 1'!$N21)))*(1+'Data Input 2'!$K$37)*D$12/C$12),0))</f>
        <v>0</v>
      </c>
      <c r="E42" s="151">
        <f>IF(D$12=0,0,MAX((D42*(1+'Data Input 2'!$K$37)*E$12/D$12),0))</f>
        <v>0</v>
      </c>
      <c r="F42" s="151">
        <f>IF(E$12=0,0,MAX((E42*(1+'Data Input 2'!$K$37)*F$12/E$12),0))</f>
        <v>0</v>
      </c>
      <c r="G42" s="151">
        <f>IF(F$12=0,0,MAX((F42*(1+'Data Input 2'!$K$37)*G$12/F$12),0))</f>
        <v>0</v>
      </c>
      <c r="H42" s="151">
        <f>IF(G$12=0,0,MAX((G42*(1+'Data Input 2'!$K$37)*H$12/G$12),0))</f>
        <v>0</v>
      </c>
      <c r="I42" s="151">
        <f>IF(H$12=0,0,MAX((H42*(1+'Data Input 2'!$K$37)*I$12/H$12),0))</f>
        <v>0</v>
      </c>
      <c r="J42" s="151">
        <f>IF(I$12=0,0,MAX((I42*(1+'Data Input 2'!$K$37)*J$12/I$12),0))</f>
        <v>0</v>
      </c>
      <c r="K42" s="151">
        <f>IF(J$12=0,0,MAX((J42*(1+'Data Input 2'!$K$37)*K$12/J$12),0))</f>
        <v>0</v>
      </c>
      <c r="L42" s="151">
        <f>IF(K$12=0,0,MAX((K42*(1+'Data Input 2'!$K$37)*L$12/K$12),0))</f>
        <v>0</v>
      </c>
      <c r="M42" s="151">
        <f>IF(L$12=0,0,MAX((L42*(1+'Data Input 2'!$K$37)*M$12/L$12),0))</f>
        <v>0</v>
      </c>
      <c r="N42" s="151">
        <f>IF(M$12=0,0,MAX((M42*(1+'Data Input 2'!$K$37)*N$12/M$12),0))</f>
        <v>0</v>
      </c>
      <c r="O42" s="151">
        <f>IF(N$12=0,0,MAX((N42*(1+'Data Input 2'!$K$37)*O$12/N$12),0))</f>
        <v>0</v>
      </c>
      <c r="P42" s="151">
        <f>IF(O$12=0,0,MAX((O42*(1+'Data Input 2'!$K$37)*P$12/O$12),0))</f>
        <v>0</v>
      </c>
      <c r="Q42" s="151">
        <f>IF(P$12=0,0,MAX((P42*(1+'Data Input 2'!$K$37)*Q$12/P$12),0))</f>
        <v>0</v>
      </c>
      <c r="R42" s="151">
        <f>IF(Q$12=0,0,MAX((Q42*(1+'Data Input 2'!$K$37)*R$12/Q$12),0))</f>
        <v>0</v>
      </c>
      <c r="S42" s="151">
        <f>IF(R$12=0,0,MAX((R42*(1+'Data Input 2'!$K$37)*S$12/R$12),0))</f>
        <v>0</v>
      </c>
      <c r="T42" s="151">
        <f>IF(S$12=0,0,MAX((S42*(1+'Data Input 2'!$K$37)*T$12/S$12),0))</f>
        <v>0</v>
      </c>
      <c r="U42" s="151">
        <f>IF(T$12=0,0,MAX((T42*(1+'Data Input 2'!$K$37)*U$12/T$12),0))</f>
        <v>0</v>
      </c>
      <c r="V42" s="151">
        <f>IF(U$12=0,0,MAX((U42*(1+'Data Input 2'!$K$37)*V$12/U$12),0))</f>
        <v>0</v>
      </c>
      <c r="W42" s="151">
        <f>IF(V$12=0,0,MAX((V42*(1+'Data Input 2'!$K$37)*W$12/V$12),0))</f>
        <v>0</v>
      </c>
      <c r="X42" s="151">
        <f>IF(W$12=0,0,MAX((W42*(1+'Data Input 2'!$K$37)*X$12/W$12),0))</f>
        <v>0</v>
      </c>
    </row>
    <row r="43" spans="1:24" outlineLevel="1" x14ac:dyDescent="0.2">
      <c r="A43" s="150" t="str">
        <f>"Commercial Sewer Block 5 (" &amp;'Data Input 1'!J22 &amp;" and above):"</f>
        <v>Commercial Sewer Block 5 (50001 and above):</v>
      </c>
      <c r="B43" s="157">
        <f>'Data Input 2'!D34</f>
        <v>400000</v>
      </c>
      <c r="C43" s="158">
        <f t="shared" si="7"/>
        <v>4800000</v>
      </c>
      <c r="D43" s="162">
        <f>IF(OR(C$12=0,'Data Input 1'!$N22=0),0,MAX((C43*(1+('Data Input 2'!$K$38*10*(('Data Input 1'!$O22-'Data Input 1'!$N22)/'Data Input 1'!$N22)))*(1+'Data Input 2'!$K$37)*D$12/C$12),0))</f>
        <v>2880000</v>
      </c>
      <c r="E43" s="151">
        <f>IF(D$12=0,0,MAX((D43*(1+'Data Input 2'!$K$37)*E$12/D$12),0))</f>
        <v>2880000</v>
      </c>
      <c r="F43" s="151">
        <f>IF(E$12=0,0,MAX((E43*(1+'Data Input 2'!$K$37)*F$12/E$12),0))</f>
        <v>2880000</v>
      </c>
      <c r="G43" s="151">
        <f>IF(F$12=0,0,MAX((F43*(1+'Data Input 2'!$K$37)*G$12/F$12),0))</f>
        <v>2880000</v>
      </c>
      <c r="H43" s="151">
        <f>IF(G$12=0,0,MAX((G43*(1+'Data Input 2'!$K$37)*H$12/G$12),0))</f>
        <v>2880000</v>
      </c>
      <c r="I43" s="151">
        <f>IF(H$12=0,0,MAX((H43*(1+'Data Input 2'!$K$37)*I$12/H$12),0))</f>
        <v>2880000</v>
      </c>
      <c r="J43" s="151">
        <f>IF(I$12=0,0,MAX((I43*(1+'Data Input 2'!$K$37)*J$12/I$12),0))</f>
        <v>2880000</v>
      </c>
      <c r="K43" s="151">
        <f>IF(J$12=0,0,MAX((J43*(1+'Data Input 2'!$K$37)*K$12/J$12),0))</f>
        <v>2880000</v>
      </c>
      <c r="L43" s="151">
        <f>IF(K$12=0,0,MAX((K43*(1+'Data Input 2'!$K$37)*L$12/K$12),0))</f>
        <v>2880000</v>
      </c>
      <c r="M43" s="151">
        <f>IF(L$12=0,0,MAX((L43*(1+'Data Input 2'!$K$37)*M$12/L$12),0))</f>
        <v>2880000</v>
      </c>
      <c r="N43" s="151">
        <f>IF(M$12=0,0,MAX((M43*(1+'Data Input 2'!$K$37)*N$12/M$12),0))</f>
        <v>2880000</v>
      </c>
      <c r="O43" s="151">
        <f>IF(N$12=0,0,MAX((N43*(1+'Data Input 2'!$K$37)*O$12/N$12),0))</f>
        <v>2880000</v>
      </c>
      <c r="P43" s="151">
        <f>IF(O$12=0,0,MAX((O43*(1+'Data Input 2'!$K$37)*P$12/O$12),0))</f>
        <v>2880000</v>
      </c>
      <c r="Q43" s="151">
        <f>IF(P$12=0,0,MAX((P43*(1+'Data Input 2'!$K$37)*Q$12/P$12),0))</f>
        <v>2880000</v>
      </c>
      <c r="R43" s="151">
        <f>IF(Q$12=0,0,MAX((Q43*(1+'Data Input 2'!$K$37)*R$12/Q$12),0))</f>
        <v>2880000</v>
      </c>
      <c r="S43" s="151">
        <f>IF(R$12=0,0,MAX((R43*(1+'Data Input 2'!$K$37)*S$12/R$12),0))</f>
        <v>2880000</v>
      </c>
      <c r="T43" s="151">
        <f>IF(S$12=0,0,MAX((S43*(1+'Data Input 2'!$K$37)*T$12/S$12),0))</f>
        <v>2880000</v>
      </c>
      <c r="U43" s="151">
        <f>IF(T$12=0,0,MAX((T43*(1+'Data Input 2'!$K$37)*U$12/T$12),0))</f>
        <v>2880000</v>
      </c>
      <c r="V43" s="151">
        <f>IF(U$12=0,0,MAX((U43*(1+'Data Input 2'!$K$37)*V$12/U$12),0))</f>
        <v>2880000</v>
      </c>
      <c r="W43" s="151">
        <f>IF(V$12=0,0,MAX((V43*(1+'Data Input 2'!$K$37)*W$12/V$12),0))</f>
        <v>2880000</v>
      </c>
      <c r="X43" s="151">
        <f>IF(W$12=0,0,MAX((W43*(1+'Data Input 2'!$K$37)*X$12/W$12),0))</f>
        <v>2880000</v>
      </c>
    </row>
    <row r="44" spans="1:24" outlineLevel="1" x14ac:dyDescent="0.2">
      <c r="A44" s="159" t="s">
        <v>63</v>
      </c>
      <c r="B44" s="157"/>
      <c r="C44" s="160">
        <f>SUM(C39:C43)</f>
        <v>28507200</v>
      </c>
      <c r="D44" s="160">
        <f t="shared" ref="D44:X44" si="8">SUM(D39:D43)</f>
        <v>25327200</v>
      </c>
      <c r="E44" s="160">
        <f t="shared" si="8"/>
        <v>25327200</v>
      </c>
      <c r="F44" s="160">
        <f t="shared" si="8"/>
        <v>25327200</v>
      </c>
      <c r="G44" s="160">
        <f t="shared" si="8"/>
        <v>25327200</v>
      </c>
      <c r="H44" s="160">
        <f t="shared" si="8"/>
        <v>25327200</v>
      </c>
      <c r="I44" s="160">
        <f t="shared" si="8"/>
        <v>25327200</v>
      </c>
      <c r="J44" s="160">
        <f t="shared" si="8"/>
        <v>25327200</v>
      </c>
      <c r="K44" s="160">
        <f t="shared" si="8"/>
        <v>25327200</v>
      </c>
      <c r="L44" s="160">
        <f t="shared" si="8"/>
        <v>25327200</v>
      </c>
      <c r="M44" s="160">
        <f t="shared" si="8"/>
        <v>25327200</v>
      </c>
      <c r="N44" s="160">
        <f t="shared" si="8"/>
        <v>25327200</v>
      </c>
      <c r="O44" s="160">
        <f t="shared" si="8"/>
        <v>25327200</v>
      </c>
      <c r="P44" s="160">
        <f t="shared" si="8"/>
        <v>25327200</v>
      </c>
      <c r="Q44" s="160">
        <f t="shared" si="8"/>
        <v>25327200</v>
      </c>
      <c r="R44" s="160">
        <f t="shared" si="8"/>
        <v>25327200</v>
      </c>
      <c r="S44" s="160">
        <f t="shared" si="8"/>
        <v>25327200</v>
      </c>
      <c r="T44" s="160">
        <f t="shared" si="8"/>
        <v>25327200</v>
      </c>
      <c r="U44" s="160">
        <f t="shared" si="8"/>
        <v>25327200</v>
      </c>
      <c r="V44" s="160">
        <f t="shared" si="8"/>
        <v>25327200</v>
      </c>
      <c r="W44" s="160">
        <f t="shared" si="8"/>
        <v>25327200</v>
      </c>
      <c r="X44" s="160">
        <f t="shared" si="8"/>
        <v>25327200</v>
      </c>
    </row>
    <row r="45" spans="1:24" x14ac:dyDescent="0.2">
      <c r="A45" s="150"/>
      <c r="B45" s="161"/>
      <c r="D45" s="151"/>
      <c r="E45" s="151"/>
      <c r="F45" s="151"/>
      <c r="G45" s="151"/>
      <c r="H45" s="151"/>
      <c r="I45" s="151"/>
      <c r="J45" s="151"/>
      <c r="K45" s="151"/>
      <c r="L45" s="151"/>
      <c r="M45" s="151"/>
      <c r="N45" s="151"/>
      <c r="O45" s="151"/>
      <c r="P45" s="151"/>
      <c r="Q45" s="151"/>
      <c r="R45" s="151"/>
      <c r="S45" s="151"/>
      <c r="T45" s="151"/>
      <c r="U45" s="151"/>
      <c r="V45" s="151"/>
      <c r="W45" s="151"/>
      <c r="X45" s="151"/>
    </row>
    <row r="46" spans="1:24" x14ac:dyDescent="0.2">
      <c r="A46" s="145" t="s">
        <v>48</v>
      </c>
      <c r="B46" s="161"/>
      <c r="D46" s="151"/>
      <c r="E46" s="151"/>
      <c r="F46" s="151"/>
      <c r="G46" s="151"/>
      <c r="H46" s="151"/>
      <c r="I46" s="151"/>
      <c r="J46" s="151"/>
      <c r="K46" s="151"/>
      <c r="L46" s="151"/>
      <c r="M46" s="151"/>
      <c r="N46" s="151"/>
      <c r="O46" s="151"/>
      <c r="P46" s="151"/>
      <c r="Q46" s="151"/>
      <c r="R46" s="151"/>
      <c r="S46" s="151"/>
      <c r="T46" s="151"/>
      <c r="U46" s="151"/>
      <c r="V46" s="151"/>
      <c r="W46" s="151"/>
      <c r="X46" s="151"/>
    </row>
    <row r="47" spans="1:24" outlineLevel="1" x14ac:dyDescent="0.2">
      <c r="A47" s="150" t="str">
        <f>"Irrigation Water Block 1 (" &amp;'Data Input 1'!B29 &amp;" to " &amp;'Data Input 1'!D29 &amp;" gal/month):"</f>
        <v>Irrigation Water Block 1 (0 to 0 gal/month):</v>
      </c>
      <c r="B47" s="157">
        <f>'Data Input 2'!D37</f>
        <v>800000</v>
      </c>
      <c r="C47" s="158">
        <f>B47*12</f>
        <v>9600000</v>
      </c>
      <c r="D47" s="151">
        <f>IF(OR(C$14=0,'Data Input 1'!$F29=0),0,MAX((C47*(1+('Data Input 2'!$K$41*10*(('Data Input 1'!$G29-'Data Input 1'!$F29)/'Data Input 1'!$F29)))*(1+'Data Input 2'!$K$40)*D$14/C$14),0))</f>
        <v>8568000.0000000019</v>
      </c>
      <c r="E47" s="151">
        <f>IF(D$14=0,0,MAX((D47*(1+'Data Input 2'!$K$40)*E$14/D$14),0))</f>
        <v>8561280.0000000019</v>
      </c>
      <c r="F47" s="151">
        <f>IF(E$14=0,0,MAX((E47*(1+'Data Input 2'!$K$40)*F$14/E$14),0))</f>
        <v>8551401.6000000015</v>
      </c>
      <c r="G47" s="151">
        <f>IF(F$14=0,0,MAX((F47*(1+'Data Input 2'!$K$40)*G$14/F$14),0))</f>
        <v>8538493.824000001</v>
      </c>
      <c r="H47" s="151">
        <f>IF(G$14=0,0,MAX((G47*(1+'Data Input 2'!$K$40)*H$14/G$14),0))</f>
        <v>8522681.7984000016</v>
      </c>
      <c r="I47" s="151">
        <f>IF(H$14=0,0,MAX((H47*(1+'Data Input 2'!$K$40)*I$14/H$14),0))</f>
        <v>8504086.856294401</v>
      </c>
      <c r="J47" s="151">
        <f>IF(I$14=0,0,MAX((I47*(1+'Data Input 2'!$K$40)*J$14/I$14),0))</f>
        <v>8482826.6391536649</v>
      </c>
      <c r="K47" s="151">
        <f>IF(J$14=0,0,MAX((J47*(1+'Data Input 2'!$K$40)*K$14/J$14),0))</f>
        <v>8459015.1959560402</v>
      </c>
      <c r="L47" s="151">
        <f>IF(K$14=0,0,MAX((K47*(1+'Data Input 2'!$K$40)*L$14/K$14),0))</f>
        <v>8432763.0798306596</v>
      </c>
      <c r="M47" s="151">
        <f>IF(L$14=0,0,MAX((L47*(1+'Data Input 2'!$K$40)*M$14/L$14),0))</f>
        <v>8404177.4422719106</v>
      </c>
      <c r="N47" s="151">
        <f>IF(M$14=0,0,MAX((M47*(1+'Data Input 2'!$K$40)*N$14/M$14),0))</f>
        <v>8373362.1249835799</v>
      </c>
      <c r="O47" s="151">
        <f>IF(N$14=0,0,MAX((N47*(1+'Data Input 2'!$K$40)*O$14/N$14),0))</f>
        <v>8340417.749409874</v>
      </c>
      <c r="P47" s="151">
        <f>IF(O$14=0,0,MAX((O47*(1+'Data Input 2'!$K$40)*P$14/O$14),0))</f>
        <v>8305441.8040091218</v>
      </c>
      <c r="Q47" s="151">
        <f>IF(P$14=0,0,MAX((P47*(1+'Data Input 2'!$K$40)*Q$14/P$14),0))</f>
        <v>8268528.729324637</v>
      </c>
      <c r="R47" s="151">
        <f>IF(Q$14=0,0,MAX((Q47*(1+'Data Input 2'!$K$40)*R$14/Q$14),0))</f>
        <v>8229770.0009059273</v>
      </c>
      <c r="S47" s="151">
        <f>IF(R$14=0,0,MAX((R47*(1+'Data Input 2'!$K$40)*S$14/R$14),0))</f>
        <v>8189254.2101322366</v>
      </c>
      <c r="T47" s="151">
        <f>IF(S$14=0,0,MAX((S47*(1+'Data Input 2'!$K$40)*T$14/S$14),0))</f>
        <v>8147067.1429891316</v>
      </c>
      <c r="U47" s="151">
        <f>IF(T$14=0,0,MAX((T47*(1+'Data Input 2'!$K$40)*U$14/T$14),0))</f>
        <v>8103291.8568476969</v>
      </c>
      <c r="V47" s="151">
        <f>IF(U$14=0,0,MAX((U47*(1+'Data Input 2'!$K$40)*V$14/U$14),0))</f>
        <v>8058008.7552947244</v>
      </c>
      <c r="W47" s="151">
        <f>IF(V$14=0,0,MAX((V47*(1+'Data Input 2'!$K$40)*W$14/V$14),0))</f>
        <v>8011295.6610611314</v>
      </c>
      <c r="X47" s="151">
        <f>IF(W$14=0,0,MAX((W47*(1+'Data Input 2'!$K$40)*X$14/W$14),0))</f>
        <v>7963227.887094765</v>
      </c>
    </row>
    <row r="48" spans="1:24" outlineLevel="1" x14ac:dyDescent="0.2">
      <c r="A48" s="150" t="str">
        <f>"Irrigation Water Block 2 (" &amp;'Data Input 1'!B30 &amp;" to " &amp;'Data Input 1'!D30 &amp;" gal/month):"</f>
        <v>Irrigation Water Block 2 (0 to 0 gal/month):</v>
      </c>
      <c r="B48" s="157">
        <f>'Data Input 2'!D38</f>
        <v>0</v>
      </c>
      <c r="C48" s="158">
        <f t="shared" ref="C48:C51" si="9">B48*12</f>
        <v>0</v>
      </c>
      <c r="D48" s="151">
        <f>IF(OR(C$14=0,'Data Input 1'!$F30=0),0,MAX((C48*(1+('Data Input 2'!$K$41*10*(('Data Input 1'!$G30-'Data Input 1'!$F30)/'Data Input 1'!$F30)))*(1+'Data Input 2'!$K$40)*D$14/C$14),0))</f>
        <v>0</v>
      </c>
      <c r="E48" s="151">
        <f>IF(D$14=0,0,MAX((D48*(1+'Data Input 2'!$K$40)*E$14/D$14),0))</f>
        <v>0</v>
      </c>
      <c r="F48" s="151">
        <f>IF(E$14=0,0,MAX((E48*(1+'Data Input 2'!$K$40)*F$14/E$14),0))</f>
        <v>0</v>
      </c>
      <c r="G48" s="151">
        <f>IF(F$14=0,0,MAX((F48*(1+'Data Input 2'!$K$40)*G$14/F$14),0))</f>
        <v>0</v>
      </c>
      <c r="H48" s="151">
        <f>IF(G$14=0,0,MAX((G48*(1+'Data Input 2'!$K$40)*H$14/G$14),0))</f>
        <v>0</v>
      </c>
      <c r="I48" s="151">
        <f>IF(H$14=0,0,MAX((H48*(1+'Data Input 2'!$K$40)*I$14/H$14),0))</f>
        <v>0</v>
      </c>
      <c r="J48" s="151">
        <f>IF(I$14=0,0,MAX((I48*(1+'Data Input 2'!$K$40)*J$14/I$14),0))</f>
        <v>0</v>
      </c>
      <c r="K48" s="151">
        <f>IF(J$14=0,0,MAX((J48*(1+'Data Input 2'!$K$40)*K$14/J$14),0))</f>
        <v>0</v>
      </c>
      <c r="L48" s="151">
        <f>IF(K$14=0,0,MAX((K48*(1+'Data Input 2'!$K$40)*L$14/K$14),0))</f>
        <v>0</v>
      </c>
      <c r="M48" s="151">
        <f>IF(L$14=0,0,MAX((L48*(1+'Data Input 2'!$K$40)*M$14/L$14),0))</f>
        <v>0</v>
      </c>
      <c r="N48" s="151">
        <f>IF(M$14=0,0,MAX((M48*(1+'Data Input 2'!$K$40)*N$14/M$14),0))</f>
        <v>0</v>
      </c>
      <c r="O48" s="151">
        <f>IF(N$14=0,0,MAX((N48*(1+'Data Input 2'!$K$40)*O$14/N$14),0))</f>
        <v>0</v>
      </c>
      <c r="P48" s="151">
        <f>IF(O$14=0,0,MAX((O48*(1+'Data Input 2'!$K$40)*P$14/O$14),0))</f>
        <v>0</v>
      </c>
      <c r="Q48" s="151">
        <f>IF(P$14=0,0,MAX((P48*(1+'Data Input 2'!$K$40)*Q$14/P$14),0))</f>
        <v>0</v>
      </c>
      <c r="R48" s="151">
        <f>IF(Q$14=0,0,MAX((Q48*(1+'Data Input 2'!$K$40)*R$14/Q$14),0))</f>
        <v>0</v>
      </c>
      <c r="S48" s="151">
        <f>IF(R$14=0,0,MAX((R48*(1+'Data Input 2'!$K$40)*S$14/R$14),0))</f>
        <v>0</v>
      </c>
      <c r="T48" s="151">
        <f>IF(S$14=0,0,MAX((S48*(1+'Data Input 2'!$K$40)*T$14/S$14),0))</f>
        <v>0</v>
      </c>
      <c r="U48" s="151">
        <f>IF(T$14=0,0,MAX((T48*(1+'Data Input 2'!$K$40)*U$14/T$14),0))</f>
        <v>0</v>
      </c>
      <c r="V48" s="151">
        <f>IF(U$14=0,0,MAX((U48*(1+'Data Input 2'!$K$40)*V$14/U$14),0))</f>
        <v>0</v>
      </c>
      <c r="W48" s="151">
        <f>IF(V$14=0,0,MAX((V48*(1+'Data Input 2'!$K$40)*W$14/V$14),0))</f>
        <v>0</v>
      </c>
      <c r="X48" s="151">
        <f>IF(W$14=0,0,MAX((W48*(1+'Data Input 2'!$K$40)*X$14/W$14),0))</f>
        <v>0</v>
      </c>
    </row>
    <row r="49" spans="1:24" outlineLevel="1" x14ac:dyDescent="0.2">
      <c r="A49" s="150" t="str">
        <f>"Irrigation Water Block 3 (" &amp;'Data Input 1'!B31 &amp;" to " &amp;'Data Input 1'!D31 &amp;" gal/month):"</f>
        <v>Irrigation Water Block 3 (0 to 0 gal/month):</v>
      </c>
      <c r="B49" s="157">
        <f>'Data Input 2'!D39</f>
        <v>0</v>
      </c>
      <c r="C49" s="158">
        <f t="shared" si="9"/>
        <v>0</v>
      </c>
      <c r="D49" s="151">
        <f>IF(OR(C$14=0,'Data Input 1'!$F31=0),0,MAX((C49*(1+('Data Input 2'!$K$41*10*(('Data Input 1'!$G31-'Data Input 1'!$F31)/'Data Input 1'!$F31)))*(1+'Data Input 2'!$K$40)*D$14/C$14),0))</f>
        <v>0</v>
      </c>
      <c r="E49" s="151">
        <f>IF(D$14=0,0,MAX((D49*(1+'Data Input 2'!$K$40)*E$14/D$14),0))</f>
        <v>0</v>
      </c>
      <c r="F49" s="151">
        <f>IF(E$14=0,0,MAX((E49*(1+'Data Input 2'!$K$40)*F$14/E$14),0))</f>
        <v>0</v>
      </c>
      <c r="G49" s="151">
        <f>IF(F$14=0,0,MAX((F49*(1+'Data Input 2'!$K$40)*G$14/F$14),0))</f>
        <v>0</v>
      </c>
      <c r="H49" s="151">
        <f>IF(G$14=0,0,MAX((G49*(1+'Data Input 2'!$K$40)*H$14/G$14),0))</f>
        <v>0</v>
      </c>
      <c r="I49" s="151">
        <f>IF(H$14=0,0,MAX((H49*(1+'Data Input 2'!$K$40)*I$14/H$14),0))</f>
        <v>0</v>
      </c>
      <c r="J49" s="151">
        <f>IF(I$14=0,0,MAX((I49*(1+'Data Input 2'!$K$40)*J$14/I$14),0))</f>
        <v>0</v>
      </c>
      <c r="K49" s="151">
        <f>IF(J$14=0,0,MAX((J49*(1+'Data Input 2'!$K$40)*K$14/J$14),0))</f>
        <v>0</v>
      </c>
      <c r="L49" s="151">
        <f>IF(K$14=0,0,MAX((K49*(1+'Data Input 2'!$K$40)*L$14/K$14),0))</f>
        <v>0</v>
      </c>
      <c r="M49" s="151">
        <f>IF(L$14=0,0,MAX((L49*(1+'Data Input 2'!$K$40)*M$14/L$14),0))</f>
        <v>0</v>
      </c>
      <c r="N49" s="151">
        <f>IF(M$14=0,0,MAX((M49*(1+'Data Input 2'!$K$40)*N$14/M$14),0))</f>
        <v>0</v>
      </c>
      <c r="O49" s="151">
        <f>IF(N$14=0,0,MAX((N49*(1+'Data Input 2'!$K$40)*O$14/N$14),0))</f>
        <v>0</v>
      </c>
      <c r="P49" s="151">
        <f>IF(O$14=0,0,MAX((O49*(1+'Data Input 2'!$K$40)*P$14/O$14),0))</f>
        <v>0</v>
      </c>
      <c r="Q49" s="151">
        <f>IF(P$14=0,0,MAX((P49*(1+'Data Input 2'!$K$40)*Q$14/P$14),0))</f>
        <v>0</v>
      </c>
      <c r="R49" s="151">
        <f>IF(Q$14=0,0,MAX((Q49*(1+'Data Input 2'!$K$40)*R$14/Q$14),0))</f>
        <v>0</v>
      </c>
      <c r="S49" s="151">
        <f>IF(R$14=0,0,MAX((R49*(1+'Data Input 2'!$K$40)*S$14/R$14),0))</f>
        <v>0</v>
      </c>
      <c r="T49" s="151">
        <f>IF(S$14=0,0,MAX((S49*(1+'Data Input 2'!$K$40)*T$14/S$14),0))</f>
        <v>0</v>
      </c>
      <c r="U49" s="151">
        <f>IF(T$14=0,0,MAX((T49*(1+'Data Input 2'!$K$40)*U$14/T$14),0))</f>
        <v>0</v>
      </c>
      <c r="V49" s="151">
        <f>IF(U$14=0,0,MAX((U49*(1+'Data Input 2'!$K$40)*V$14/U$14),0))</f>
        <v>0</v>
      </c>
      <c r="W49" s="151">
        <f>IF(V$14=0,0,MAX((V49*(1+'Data Input 2'!$K$40)*W$14/V$14),0))</f>
        <v>0</v>
      </c>
      <c r="X49" s="151">
        <f>IF(W$14=0,0,MAX((W49*(1+'Data Input 2'!$K$40)*X$14/W$14),0))</f>
        <v>0</v>
      </c>
    </row>
    <row r="50" spans="1:24" outlineLevel="1" x14ac:dyDescent="0.2">
      <c r="A50" s="150" t="str">
        <f>"Irrigation Water Block 4 (" &amp;'Data Input 1'!B32 &amp;" to " &amp;'Data Input 1'!D32 &amp;" gal/month):"</f>
        <v>Irrigation Water Block 4 (0 to 0 gal/month):</v>
      </c>
      <c r="B50" s="157">
        <f>'Data Input 2'!D40</f>
        <v>0</v>
      </c>
      <c r="C50" s="158">
        <f t="shared" si="9"/>
        <v>0</v>
      </c>
      <c r="D50" s="151">
        <f>IF(OR(C$14=0,'Data Input 1'!$F32=0),0,MAX((C50*(1+('Data Input 2'!$K$41*10*(('Data Input 1'!$G32-'Data Input 1'!$F32)/'Data Input 1'!$F32)))*(1+'Data Input 2'!$K$40)*D$14/C$14),0))</f>
        <v>0</v>
      </c>
      <c r="E50" s="151">
        <f>IF(D$14=0,0,MAX((D50*(1+'Data Input 2'!$K$40)*E$14/D$14),0))</f>
        <v>0</v>
      </c>
      <c r="F50" s="151">
        <f>IF(E$14=0,0,MAX((E50*(1+'Data Input 2'!$K$40)*F$14/E$14),0))</f>
        <v>0</v>
      </c>
      <c r="G50" s="151">
        <f>IF(F$14=0,0,MAX((F50*(1+'Data Input 2'!$K$40)*G$14/F$14),0))</f>
        <v>0</v>
      </c>
      <c r="H50" s="151">
        <f>IF(G$14=0,0,MAX((G50*(1+'Data Input 2'!$K$40)*H$14/G$14),0))</f>
        <v>0</v>
      </c>
      <c r="I50" s="151">
        <f>IF(H$14=0,0,MAX((H50*(1+'Data Input 2'!$K$40)*I$14/H$14),0))</f>
        <v>0</v>
      </c>
      <c r="J50" s="151">
        <f>IF(I$14=0,0,MAX((I50*(1+'Data Input 2'!$K$40)*J$14/I$14),0))</f>
        <v>0</v>
      </c>
      <c r="K50" s="151">
        <f>IF(J$14=0,0,MAX((J50*(1+'Data Input 2'!$K$40)*K$14/J$14),0))</f>
        <v>0</v>
      </c>
      <c r="L50" s="151">
        <f>IF(K$14=0,0,MAX((K50*(1+'Data Input 2'!$K$40)*L$14/K$14),0))</f>
        <v>0</v>
      </c>
      <c r="M50" s="151">
        <f>IF(L$14=0,0,MAX((L50*(1+'Data Input 2'!$K$40)*M$14/L$14),0))</f>
        <v>0</v>
      </c>
      <c r="N50" s="151">
        <f>IF(M$14=0,0,MAX((M50*(1+'Data Input 2'!$K$40)*N$14/M$14),0))</f>
        <v>0</v>
      </c>
      <c r="O50" s="151">
        <f>IF(N$14=0,0,MAX((N50*(1+'Data Input 2'!$K$40)*O$14/N$14),0))</f>
        <v>0</v>
      </c>
      <c r="P50" s="151">
        <f>IF(O$14=0,0,MAX((O50*(1+'Data Input 2'!$K$40)*P$14/O$14),0))</f>
        <v>0</v>
      </c>
      <c r="Q50" s="151">
        <f>IF(P$14=0,0,MAX((P50*(1+'Data Input 2'!$K$40)*Q$14/P$14),0))</f>
        <v>0</v>
      </c>
      <c r="R50" s="151">
        <f>IF(Q$14=0,0,MAX((Q50*(1+'Data Input 2'!$K$40)*R$14/Q$14),0))</f>
        <v>0</v>
      </c>
      <c r="S50" s="151">
        <f>IF(R$14=0,0,MAX((R50*(1+'Data Input 2'!$K$40)*S$14/R$14),0))</f>
        <v>0</v>
      </c>
      <c r="T50" s="151">
        <f>IF(S$14=0,0,MAX((S50*(1+'Data Input 2'!$K$40)*T$14/S$14),0))</f>
        <v>0</v>
      </c>
      <c r="U50" s="151">
        <f>IF(T$14=0,0,MAX((T50*(1+'Data Input 2'!$K$40)*U$14/T$14),0))</f>
        <v>0</v>
      </c>
      <c r="V50" s="151">
        <f>IF(U$14=0,0,MAX((U50*(1+'Data Input 2'!$K$40)*V$14/U$14),0))</f>
        <v>0</v>
      </c>
      <c r="W50" s="151">
        <f>IF(V$14=0,0,MAX((V50*(1+'Data Input 2'!$K$40)*W$14/V$14),0))</f>
        <v>0</v>
      </c>
      <c r="X50" s="151">
        <f>IF(W$14=0,0,MAX((W50*(1+'Data Input 2'!$K$40)*X$14/W$14),0))</f>
        <v>0</v>
      </c>
    </row>
    <row r="51" spans="1:24" outlineLevel="1" x14ac:dyDescent="0.2">
      <c r="A51" s="150" t="str">
        <f>"Irrigation Water Block 5 (" &amp;'Data Input 1'!B33 &amp;" and above):"</f>
        <v>Irrigation Water Block 5 (0 and above):</v>
      </c>
      <c r="B51" s="157">
        <f>'Data Input 2'!D41</f>
        <v>0</v>
      </c>
      <c r="C51" s="158">
        <f t="shared" si="9"/>
        <v>0</v>
      </c>
      <c r="D51" s="151">
        <f>IF(OR(C$14=0,'Data Input 1'!$F33=0),0,MAX((C51*(1+('Data Input 2'!$K$41*10*(('Data Input 1'!$G33-'Data Input 1'!$F33)/'Data Input 1'!$F33)))*(1+'Data Input 2'!$K$40)*D$14/C$14),0))</f>
        <v>0</v>
      </c>
      <c r="E51" s="151">
        <f>IF(D$14=0,0,MAX((D51*(1+'Data Input 2'!$K$40)*E$14/D$14),0))</f>
        <v>0</v>
      </c>
      <c r="F51" s="151">
        <f>IF(E$14=0,0,MAX((E51*(1+'Data Input 2'!$K$40)*F$14/E$14),0))</f>
        <v>0</v>
      </c>
      <c r="G51" s="151">
        <f>IF(F$14=0,0,MAX((F51*(1+'Data Input 2'!$K$40)*G$14/F$14),0))</f>
        <v>0</v>
      </c>
      <c r="H51" s="151">
        <f>IF(G$14=0,0,MAX((G51*(1+'Data Input 2'!$K$40)*H$14/G$14),0))</f>
        <v>0</v>
      </c>
      <c r="I51" s="151">
        <f>IF(H$14=0,0,MAX((H51*(1+'Data Input 2'!$K$40)*I$14/H$14),0))</f>
        <v>0</v>
      </c>
      <c r="J51" s="151">
        <f>IF(I$14=0,0,MAX((I51*(1+'Data Input 2'!$K$40)*J$14/I$14),0))</f>
        <v>0</v>
      </c>
      <c r="K51" s="151">
        <f>IF(J$14=0,0,MAX((J51*(1+'Data Input 2'!$K$40)*K$14/J$14),0))</f>
        <v>0</v>
      </c>
      <c r="L51" s="151">
        <f>IF(K$14=0,0,MAX((K51*(1+'Data Input 2'!$K$40)*L$14/K$14),0))</f>
        <v>0</v>
      </c>
      <c r="M51" s="151">
        <f>IF(L$14=0,0,MAX((L51*(1+'Data Input 2'!$K$40)*M$14/L$14),0))</f>
        <v>0</v>
      </c>
      <c r="N51" s="151">
        <f>IF(M$14=0,0,MAX((M51*(1+'Data Input 2'!$K$40)*N$14/M$14),0))</f>
        <v>0</v>
      </c>
      <c r="O51" s="151">
        <f>IF(N$14=0,0,MAX((N51*(1+'Data Input 2'!$K$40)*O$14/N$14),0))</f>
        <v>0</v>
      </c>
      <c r="P51" s="151">
        <f>IF(O$14=0,0,MAX((O51*(1+'Data Input 2'!$K$40)*P$14/O$14),0))</f>
        <v>0</v>
      </c>
      <c r="Q51" s="151">
        <f>IF(P$14=0,0,MAX((P51*(1+'Data Input 2'!$K$40)*Q$14/P$14),0))</f>
        <v>0</v>
      </c>
      <c r="R51" s="151">
        <f>IF(Q$14=0,0,MAX((Q51*(1+'Data Input 2'!$K$40)*R$14/Q$14),0))</f>
        <v>0</v>
      </c>
      <c r="S51" s="151">
        <f>IF(R$14=0,0,MAX((R51*(1+'Data Input 2'!$K$40)*S$14/R$14),0))</f>
        <v>0</v>
      </c>
      <c r="T51" s="151">
        <f>IF(S$14=0,0,MAX((S51*(1+'Data Input 2'!$K$40)*T$14/S$14),0))</f>
        <v>0</v>
      </c>
      <c r="U51" s="151">
        <f>IF(T$14=0,0,MAX((T51*(1+'Data Input 2'!$K$40)*U$14/T$14),0))</f>
        <v>0</v>
      </c>
      <c r="V51" s="151">
        <f>IF(U$14=0,0,MAX((U51*(1+'Data Input 2'!$K$40)*V$14/U$14),0))</f>
        <v>0</v>
      </c>
      <c r="W51" s="151">
        <f>IF(V$14=0,0,MAX((V51*(1+'Data Input 2'!$K$40)*W$14/V$14),0))</f>
        <v>0</v>
      </c>
      <c r="X51" s="151">
        <f>IF(W$14=0,0,MAX((W51*(1+'Data Input 2'!$K$40)*X$14/W$14),0))</f>
        <v>0</v>
      </c>
    </row>
    <row r="52" spans="1:24" outlineLevel="1" x14ac:dyDescent="0.2">
      <c r="A52" s="159" t="s">
        <v>64</v>
      </c>
      <c r="B52" s="157"/>
      <c r="C52" s="160">
        <f>SUM(C47:C51)</f>
        <v>9600000</v>
      </c>
      <c r="D52" s="160">
        <f t="shared" ref="D52:X52" si="10">SUM(D47:D51)</f>
        <v>8568000.0000000019</v>
      </c>
      <c r="E52" s="160">
        <f t="shared" si="10"/>
        <v>8561280.0000000019</v>
      </c>
      <c r="F52" s="160">
        <f t="shared" si="10"/>
        <v>8551401.6000000015</v>
      </c>
      <c r="G52" s="160">
        <f t="shared" si="10"/>
        <v>8538493.824000001</v>
      </c>
      <c r="H52" s="160">
        <f t="shared" si="10"/>
        <v>8522681.7984000016</v>
      </c>
      <c r="I52" s="160">
        <f t="shared" si="10"/>
        <v>8504086.856294401</v>
      </c>
      <c r="J52" s="160">
        <f t="shared" si="10"/>
        <v>8482826.6391536649</v>
      </c>
      <c r="K52" s="160">
        <f t="shared" si="10"/>
        <v>8459015.1959560402</v>
      </c>
      <c r="L52" s="160">
        <f t="shared" si="10"/>
        <v>8432763.0798306596</v>
      </c>
      <c r="M52" s="160">
        <f t="shared" si="10"/>
        <v>8404177.4422719106</v>
      </c>
      <c r="N52" s="160">
        <f t="shared" si="10"/>
        <v>8373362.1249835799</v>
      </c>
      <c r="O52" s="160">
        <f t="shared" si="10"/>
        <v>8340417.749409874</v>
      </c>
      <c r="P52" s="160">
        <f t="shared" si="10"/>
        <v>8305441.8040091218</v>
      </c>
      <c r="Q52" s="160">
        <f t="shared" si="10"/>
        <v>8268528.729324637</v>
      </c>
      <c r="R52" s="160">
        <f t="shared" si="10"/>
        <v>8229770.0009059273</v>
      </c>
      <c r="S52" s="160">
        <f t="shared" si="10"/>
        <v>8189254.2101322366</v>
      </c>
      <c r="T52" s="160">
        <f t="shared" si="10"/>
        <v>8147067.1429891316</v>
      </c>
      <c r="U52" s="160">
        <f t="shared" si="10"/>
        <v>8103291.8568476969</v>
      </c>
      <c r="V52" s="160">
        <f t="shared" si="10"/>
        <v>8058008.7552947244</v>
      </c>
      <c r="W52" s="160">
        <f t="shared" si="10"/>
        <v>8011295.6610611314</v>
      </c>
      <c r="X52" s="160">
        <f t="shared" si="10"/>
        <v>7963227.887094765</v>
      </c>
    </row>
    <row r="53" spans="1:24" x14ac:dyDescent="0.2">
      <c r="A53" s="150"/>
      <c r="B53" s="154"/>
      <c r="D53" s="151"/>
      <c r="E53" s="156"/>
      <c r="F53" s="156"/>
      <c r="G53" s="156"/>
      <c r="H53" s="156"/>
      <c r="I53" s="156"/>
      <c r="J53" s="156"/>
      <c r="K53" s="156"/>
      <c r="L53" s="156"/>
      <c r="M53" s="156"/>
      <c r="N53" s="156"/>
    </row>
    <row r="54" spans="1:24" x14ac:dyDescent="0.2">
      <c r="A54" s="147" t="s">
        <v>65</v>
      </c>
      <c r="B54" s="154"/>
      <c r="D54" s="151"/>
      <c r="E54" s="156"/>
      <c r="F54" s="156"/>
      <c r="G54" s="156"/>
      <c r="H54" s="156"/>
      <c r="I54" s="156"/>
      <c r="J54" s="156"/>
      <c r="K54" s="156"/>
      <c r="L54" s="156"/>
      <c r="M54" s="156"/>
      <c r="N54" s="156"/>
    </row>
    <row r="55" spans="1:24" x14ac:dyDescent="0.2">
      <c r="A55" s="150" t="s">
        <v>23</v>
      </c>
      <c r="B55" s="154"/>
      <c r="C55" s="163">
        <f>(12*C8*'Data Input 1'!$F$8)+(C17*'Data Input 1'!$F$10+C18*'Data Input 1'!$F$11+C19*'Data Input 1'!$F$12+C20*'Data Input 1'!$F$13+C21*'Data Input 1'!$F$14)/1000</f>
        <v>324000</v>
      </c>
      <c r="D55" s="164">
        <f>(12*D8*'Data Input 1'!$G$8)+(D17*'Data Input 1'!$G$10+D18*'Data Input 1'!$G$11+D19*'Data Input 1'!$G$12+D20*'Data Input 1'!$G$13+D21*'Data Input 1'!$G$14)/1000</f>
        <v>386816.80687500001</v>
      </c>
      <c r="E55" s="164">
        <f>(12*E8*'Data Input 1'!$G$8)+(E17*'Data Input 1'!$G$10+E18*'Data Input 1'!$G$11+E19*'Data Input 1'!$G$12+E20*'Data Input 1'!$G$13+E21*'Data Input 1'!$G$14)/1000</f>
        <v>389188.20948750002</v>
      </c>
      <c r="F55" s="164">
        <f>(12*F8*'Data Input 1'!$G$8)+(F17*'Data Input 1'!$G$10+F18*'Data Input 1'!$G$11+F19*'Data Input 1'!$G$12+F20*'Data Input 1'!$G$13+F21*'Data Input 1'!$G$14)/1000</f>
        <v>391545.74236706248</v>
      </c>
      <c r="G55" s="164">
        <f>(12*G8*'Data Input 1'!$G$8)+(G17*'Data Input 1'!$G$10+G18*'Data Input 1'!$G$11+G19*'Data Input 1'!$G$12+G20*'Data Input 1'!$G$13+G21*'Data Input 1'!$G$14)/1000</f>
        <v>393889.68576808501</v>
      </c>
      <c r="H55" s="164">
        <f>(12*H8*'Data Input 1'!$G$8)+(H17*'Data Input 1'!$G$10+H18*'Data Input 1'!$G$11+H19*'Data Input 1'!$G$12+H20*'Data Input 1'!$G$13+H21*'Data Input 1'!$G$14)/1000</f>
        <v>396220.3157268503</v>
      </c>
      <c r="I55" s="164">
        <f>(12*I8*'Data Input 1'!$G$8)+(I17*'Data Input 1'!$G$10+I18*'Data Input 1'!$G$11+I19*'Data Input 1'!$G$12+I20*'Data Input 1'!$G$13+I21*'Data Input 1'!$G$14)/1000</f>
        <v>398913.88327269175</v>
      </c>
      <c r="J55" s="164">
        <f>(12*J8*'Data Input 1'!$G$8)+(J17*'Data Input 1'!$G$10+J18*'Data Input 1'!$G$11+J19*'Data Input 1'!$G$12+J20*'Data Input 1'!$G$13+J21*'Data Input 1'!$G$14)/1000</f>
        <v>401591.95743604365</v>
      </c>
      <c r="K55" s="164">
        <f>(12*K8*'Data Input 1'!$G$8)+(K17*'Data Input 1'!$G$10+K18*'Data Input 1'!$G$11+K19*'Data Input 1'!$G$12+K20*'Data Input 1'!$G$13+K21*'Data Input 1'!$G$14)/1000</f>
        <v>404254.84272780118</v>
      </c>
      <c r="L55" s="164">
        <f>(12*L8*'Data Input 1'!$G$8)+(L17*'Data Input 1'!$G$10+L18*'Data Input 1'!$G$11+L19*'Data Input 1'!$G$12+L20*'Data Input 1'!$G$13+L21*'Data Input 1'!$G$14)/1000</f>
        <v>406902.83911798004</v>
      </c>
      <c r="M55" s="164">
        <f>(12*M8*'Data Input 1'!$G$8)+(M17*'Data Input 1'!$G$10+M18*'Data Input 1'!$G$11+M19*'Data Input 1'!$G$12+M20*'Data Input 1'!$G$13+M21*'Data Input 1'!$G$14)/1000</f>
        <v>409536.24209608254</v>
      </c>
      <c r="N55" s="164">
        <f>(12*N8*'Data Input 1'!$G$8)+(N17*'Data Input 1'!$G$10+N18*'Data Input 1'!$G$11+N19*'Data Input 1'!$G$12+N20*'Data Input 1'!$G$13+N21*'Data Input 1'!$G$14)/1000</f>
        <v>412155.3427307111</v>
      </c>
      <c r="O55" s="164">
        <f>(12*O8*'Data Input 1'!$G$8)+(O17*'Data Input 1'!$G$10+O18*'Data Input 1'!$G$11+O19*'Data Input 1'!$G$12+O20*'Data Input 1'!$G$13+O21*'Data Input 1'!$G$14)/1000</f>
        <v>414760.42772843759</v>
      </c>
      <c r="P55" s="164">
        <f>(12*P8*'Data Input 1'!$G$8)+(P17*'Data Input 1'!$G$10+P18*'Data Input 1'!$G$11+P19*'Data Input 1'!$G$12+P20*'Data Input 1'!$G$13+P21*'Data Input 1'!$G$14)/1000</f>
        <v>417351.77949193644</v>
      </c>
      <c r="Q55" s="164">
        <f>(12*Q8*'Data Input 1'!$G$8)+(Q17*'Data Input 1'!$G$10+Q18*'Data Input 1'!$G$11+Q19*'Data Input 1'!$G$12+Q20*'Data Input 1'!$G$13+Q21*'Data Input 1'!$G$14)/1000</f>
        <v>419929.67617739248</v>
      </c>
      <c r="R55" s="164">
        <f>(12*R8*'Data Input 1'!$G$8)+(R17*'Data Input 1'!$G$10+R18*'Data Input 1'!$G$11+R19*'Data Input 1'!$G$12+R20*'Data Input 1'!$G$13+R21*'Data Input 1'!$G$14)/1000</f>
        <v>422494.39175119018</v>
      </c>
      <c r="S55" s="164">
        <f>(12*S8*'Data Input 1'!$G$8)+(S17*'Data Input 1'!$G$10+S18*'Data Input 1'!$G$11+S19*'Data Input 1'!$G$12+S20*'Data Input 1'!$G$13+S21*'Data Input 1'!$G$14)/1000</f>
        <v>425409.17315609561</v>
      </c>
      <c r="T55" s="164">
        <f>(12*T8*'Data Input 1'!$G$8)+(T17*'Data Input 1'!$G$10+T18*'Data Input 1'!$G$11+T19*'Data Input 1'!$G$12+T20*'Data Input 1'!$G$13+T21*'Data Input 1'!$G$14)/1000</f>
        <v>428308.84949372784</v>
      </c>
      <c r="U55" s="164">
        <f>(12*U8*'Data Input 1'!$G$8)+(U17*'Data Input 1'!$G$10+U18*'Data Input 1'!$G$11+U19*'Data Input 1'!$G$12+U20*'Data Input 1'!$G$13+U21*'Data Input 1'!$G$14)/1000</f>
        <v>431193.71938729181</v>
      </c>
      <c r="V55" s="164">
        <f>(12*V8*'Data Input 1'!$G$8)+(V17*'Data Input 1'!$G$10+V18*'Data Input 1'!$G$11+V19*'Data Input 1'!$G$12+V20*'Data Input 1'!$G$13+V21*'Data Input 1'!$G$14)/1000</f>
        <v>434064.07699803513</v>
      </c>
      <c r="W55" s="164">
        <f>(12*W8*'Data Input 1'!$G$8)+(W17*'Data Input 1'!$G$10+W18*'Data Input 1'!$G$11+W19*'Data Input 1'!$G$12+W20*'Data Input 1'!$G$13+W21*'Data Input 1'!$G$14)/1000</f>
        <v>436920.21208462486</v>
      </c>
      <c r="X55" s="164">
        <f>(12*X8*'Data Input 1'!$G$8)+(X17*'Data Input 1'!$G$10+X18*'Data Input 1'!$G$11+X19*'Data Input 1'!$G$12+X20*'Data Input 1'!$G$13+X21*'Data Input 1'!$G$14)/1000</f>
        <v>439762.41006178292</v>
      </c>
    </row>
    <row r="56" spans="1:24" x14ac:dyDescent="0.2">
      <c r="A56" s="150" t="s">
        <v>24</v>
      </c>
      <c r="B56" s="154"/>
      <c r="C56" s="163">
        <f>(12*C9*'Data Input 1'!$F$16)+(C24*'Data Input 1'!$F$18+C25*'Data Input 1'!$F$19+C26*'Data Input 1'!$F$20+C27*'Data Input 1'!$F$21+C28*'Data Input 1'!$F$22)/1000</f>
        <v>278400</v>
      </c>
      <c r="D56" s="164">
        <f>(12*D9*'Data Input 1'!$G$16)+(D24*'Data Input 1'!$G$18+D25*'Data Input 1'!$G$19+D26*'Data Input 1'!$G$20+D27*'Data Input 1'!$G$21+D28*'Data Input 1'!$G$22)/1000</f>
        <v>328845.44550000003</v>
      </c>
      <c r="E56" s="164">
        <f>(12*E9*'Data Input 1'!$G$16)+(E24*'Data Input 1'!$G$18+E25*'Data Input 1'!$G$19+E26*'Data Input 1'!$G$20+E27*'Data Input 1'!$G$21+E28*'Data Input 1'!$G$22)/1000</f>
        <v>330934.56758999999</v>
      </c>
      <c r="F56" s="164">
        <f>(12*F9*'Data Input 1'!$G$16)+(F24*'Data Input 1'!$G$18+F25*'Data Input 1'!$G$19+F26*'Data Input 1'!$G$20+F27*'Data Input 1'!$G$21+F28*'Data Input 1'!$G$22)/1000</f>
        <v>333012.59389365005</v>
      </c>
      <c r="G56" s="164">
        <f>(12*G9*'Data Input 1'!$G$16)+(G24*'Data Input 1'!$G$18+G25*'Data Input 1'!$G$19+G26*'Data Input 1'!$G$20+G27*'Data Input 1'!$G$21+G28*'Data Input 1'!$G$22)/1000</f>
        <v>335079.74861446803</v>
      </c>
      <c r="H56" s="164">
        <f>(12*H9*'Data Input 1'!$G$16)+(H24*'Data Input 1'!$G$18+H25*'Data Input 1'!$G$19+H26*'Data Input 1'!$G$20+H27*'Data Input 1'!$G$21+H28*'Data Input 1'!$G$22)/1000</f>
        <v>337136.25258148031</v>
      </c>
      <c r="I56" s="164">
        <f>(12*I9*'Data Input 1'!$G$16)+(I24*'Data Input 1'!$G$18+I25*'Data Input 1'!$G$19+I26*'Data Input 1'!$G$20+I27*'Data Input 1'!$G$21+I28*'Data Input 1'!$G$22)/1000</f>
        <v>339182.32329429087</v>
      </c>
      <c r="J56" s="164">
        <f>(12*J9*'Data Input 1'!$G$16)+(J24*'Data Input 1'!$G$18+J25*'Data Input 1'!$G$19+J26*'Data Input 1'!$G$20+J27*'Data Input 1'!$G$21+J28*'Data Input 1'!$G$22)/1000</f>
        <v>341218.17496758711</v>
      </c>
      <c r="K56" s="164">
        <f>(12*K9*'Data Input 1'!$G$16)+(K24*'Data Input 1'!$G$18+K25*'Data Input 1'!$G$19+K26*'Data Input 1'!$G$20+K27*'Data Input 1'!$G$21+K28*'Data Input 1'!$G$22)/1000</f>
        <v>343641.29174473503</v>
      </c>
      <c r="L56" s="164">
        <f>(12*L9*'Data Input 1'!$G$16)+(L24*'Data Input 1'!$G$18+L25*'Data Input 1'!$G$19+L26*'Data Input 1'!$G$20+L27*'Data Input 1'!$G$21+L28*'Data Input 1'!$G$22)/1000</f>
        <v>346051.94276884326</v>
      </c>
      <c r="M56" s="164">
        <f>(12*M9*'Data Input 1'!$G$16)+(M24*'Data Input 1'!$G$18+M25*'Data Input 1'!$G$19+M26*'Data Input 1'!$G$20+M27*'Data Input 1'!$G$21+M28*'Data Input 1'!$G$22)/1000</f>
        <v>348450.37264329486</v>
      </c>
      <c r="N56" s="164">
        <f>(12*N9*'Data Input 1'!$G$16)+(N24*'Data Input 1'!$G$18+N25*'Data Input 1'!$G$19+N26*'Data Input 1'!$G$20+N27*'Data Input 1'!$G$21+N28*'Data Input 1'!$G$22)/1000</f>
        <v>350836.82232598058</v>
      </c>
      <c r="O56" s="164">
        <f>(12*O9*'Data Input 1'!$G$16)+(O24*'Data Input 1'!$G$18+O25*'Data Input 1'!$G$19+O26*'Data Input 1'!$G$20+O27*'Data Input 1'!$G$21+O28*'Data Input 1'!$G$22)/1000</f>
        <v>353211.52917774825</v>
      </c>
      <c r="P56" s="164">
        <f>(12*P9*'Data Input 1'!$G$16)+(P24*'Data Input 1'!$G$18+P25*'Data Input 1'!$G$19+P26*'Data Input 1'!$G$20+P27*'Data Input 1'!$G$21+P28*'Data Input 1'!$G$22)/1000</f>
        <v>355574.72701024788</v>
      </c>
      <c r="Q56" s="164">
        <f>(12*Q9*'Data Input 1'!$G$16)+(Q24*'Data Input 1'!$G$18+Q25*'Data Input 1'!$G$19+Q26*'Data Input 1'!$G$20+Q27*'Data Input 1'!$G$21+Q28*'Data Input 1'!$G$22)/1000</f>
        <v>357926.64613317983</v>
      </c>
      <c r="R56" s="164">
        <f>(12*R9*'Data Input 1'!$G$16)+(R24*'Data Input 1'!$G$18+R25*'Data Input 1'!$G$19+R26*'Data Input 1'!$G$20+R27*'Data Input 1'!$G$21+R28*'Data Input 1'!$G$22)/1000</f>
        <v>360267.5134009521</v>
      </c>
      <c r="S56" s="164">
        <f>(12*S9*'Data Input 1'!$G$16)+(S24*'Data Input 1'!$G$18+S25*'Data Input 1'!$G$19+S26*'Data Input 1'!$G$20+S27*'Data Input 1'!$G$21+S28*'Data Input 1'!$G$22)/1000</f>
        <v>362597.5522587556</v>
      </c>
      <c r="T56" s="164">
        <f>(12*T9*'Data Input 1'!$G$16)+(T24*'Data Input 1'!$G$18+T25*'Data Input 1'!$G$19+T26*'Data Input 1'!$G$20+T27*'Data Input 1'!$G$21+T28*'Data Input 1'!$G$22)/1000</f>
        <v>364916.98278806295</v>
      </c>
      <c r="U56" s="164">
        <f>(12*U9*'Data Input 1'!$G$16)+(U24*'Data Input 1'!$G$18+U25*'Data Input 1'!$G$19+U26*'Data Input 1'!$G$20+U27*'Data Input 1'!$G$21+U28*'Data Input 1'!$G$22)/1000</f>
        <v>367226.02175155829</v>
      </c>
      <c r="V56" s="164">
        <f>(12*V9*'Data Input 1'!$G$16)+(V24*'Data Input 1'!$G$18+V25*'Data Input 1'!$G$19+V26*'Data Input 1'!$G$20+V27*'Data Input 1'!$G$21+V28*'Data Input 1'!$G$22)/1000</f>
        <v>369908.20720455621</v>
      </c>
      <c r="W56" s="164">
        <f>(12*W9*'Data Input 1'!$G$16)+(W24*'Data Input 1'!$G$18+W25*'Data Input 1'!$G$19+W26*'Data Input 1'!$G$20+W27*'Data Input 1'!$G$21+W28*'Data Input 1'!$G$22)/1000</f>
        <v>372578.03834631905</v>
      </c>
      <c r="X56" s="164">
        <f>(12*X9*'Data Input 1'!$G$16)+(X24*'Data Input 1'!$G$18+X25*'Data Input 1'!$G$19+X26*'Data Input 1'!$G$20+X27*'Data Input 1'!$G$21+X28*'Data Input 1'!$G$22)/1000</f>
        <v>375235.75804452616</v>
      </c>
    </row>
    <row r="57" spans="1:24" x14ac:dyDescent="0.2">
      <c r="A57" s="150" t="s">
        <v>25</v>
      </c>
      <c r="B57" s="154"/>
      <c r="C57" s="163">
        <f>(12*C11*'Data Input 1'!$N$8)+(C32*'Data Input 1'!$N$10+C33*'Data Input 1'!$N$11+C34*'Data Input 1'!$N$12+C35*'Data Input 1'!$N$13+C36*'Data Input 1'!$N$14)/1000</f>
        <v>202536</v>
      </c>
      <c r="D57" s="164">
        <f>(12*D11*'Data Input 1'!$O$8)+(D32*'Data Input 1'!$O$10+D33*'Data Input 1'!$O$11+D34*'Data Input 1'!$O$12+D35*'Data Input 1'!$O$13+D36*'Data Input 1'!$O$14)/1000</f>
        <v>242624.47500000001</v>
      </c>
      <c r="E57" s="164">
        <f>(12*E11*'Data Input 1'!$O$8)+(E32*'Data Input 1'!$O$10+E33*'Data Input 1'!$O$11+E34*'Data Input 1'!$O$12+E35*'Data Input 1'!$O$13+E36*'Data Input 1'!$O$14)/1000</f>
        <v>242624.47500000001</v>
      </c>
      <c r="F57" s="164">
        <f>(12*F11*'Data Input 1'!$O$8)+(F32*'Data Input 1'!$O$10+F33*'Data Input 1'!$O$11+F34*'Data Input 1'!$O$12+F35*'Data Input 1'!$O$13+F36*'Data Input 1'!$O$14)/1000</f>
        <v>242624.47500000001</v>
      </c>
      <c r="G57" s="164">
        <f>(12*G11*'Data Input 1'!$O$8)+(G32*'Data Input 1'!$O$10+G33*'Data Input 1'!$O$11+G34*'Data Input 1'!$O$12+G35*'Data Input 1'!$O$13+G36*'Data Input 1'!$O$14)/1000</f>
        <v>242624.47500000001</v>
      </c>
      <c r="H57" s="164">
        <f>(12*H11*'Data Input 1'!$O$8)+(H32*'Data Input 1'!$O$10+H33*'Data Input 1'!$O$11+H34*'Data Input 1'!$O$12+H35*'Data Input 1'!$O$13+H36*'Data Input 1'!$O$14)/1000</f>
        <v>242624.47500000001</v>
      </c>
      <c r="I57" s="164">
        <f>(12*I11*'Data Input 1'!$O$8)+(I32*'Data Input 1'!$O$10+I33*'Data Input 1'!$O$11+I34*'Data Input 1'!$O$12+I35*'Data Input 1'!$O$13+I36*'Data Input 1'!$O$14)/1000</f>
        <v>242624.47500000001</v>
      </c>
      <c r="J57" s="164">
        <f>(12*J11*'Data Input 1'!$O$8)+(J32*'Data Input 1'!$O$10+J33*'Data Input 1'!$O$11+J34*'Data Input 1'!$O$12+J35*'Data Input 1'!$O$13+J36*'Data Input 1'!$O$14)/1000</f>
        <v>242624.47500000001</v>
      </c>
      <c r="K57" s="164">
        <f>(12*K11*'Data Input 1'!$O$8)+(K32*'Data Input 1'!$O$10+K33*'Data Input 1'!$O$11+K34*'Data Input 1'!$O$12+K35*'Data Input 1'!$O$13+K36*'Data Input 1'!$O$14)/1000</f>
        <v>242624.47500000001</v>
      </c>
      <c r="L57" s="164">
        <f>(12*L11*'Data Input 1'!$O$8)+(L32*'Data Input 1'!$O$10+L33*'Data Input 1'!$O$11+L34*'Data Input 1'!$O$12+L35*'Data Input 1'!$O$13+L36*'Data Input 1'!$O$14)/1000</f>
        <v>242624.47500000001</v>
      </c>
      <c r="M57" s="164">
        <f>(12*M11*'Data Input 1'!$O$8)+(M32*'Data Input 1'!$O$10+M33*'Data Input 1'!$O$11+M34*'Data Input 1'!$O$12+M35*'Data Input 1'!$O$13+M36*'Data Input 1'!$O$14)/1000</f>
        <v>242624.47500000001</v>
      </c>
      <c r="N57" s="164">
        <f>(12*N11*'Data Input 1'!$O$8)+(N32*'Data Input 1'!$O$10+N33*'Data Input 1'!$O$11+N34*'Data Input 1'!$O$12+N35*'Data Input 1'!$O$13+N36*'Data Input 1'!$O$14)/1000</f>
        <v>242624.47500000001</v>
      </c>
      <c r="O57" s="164">
        <f>(12*O11*'Data Input 1'!$O$8)+(O32*'Data Input 1'!$O$10+O33*'Data Input 1'!$O$11+O34*'Data Input 1'!$O$12+O35*'Data Input 1'!$O$13+O36*'Data Input 1'!$O$14)/1000</f>
        <v>242624.47500000001</v>
      </c>
      <c r="P57" s="164">
        <f>(12*P11*'Data Input 1'!$O$8)+(P32*'Data Input 1'!$O$10+P33*'Data Input 1'!$O$11+P34*'Data Input 1'!$O$12+P35*'Data Input 1'!$O$13+P36*'Data Input 1'!$O$14)/1000</f>
        <v>242624.47500000001</v>
      </c>
      <c r="Q57" s="164">
        <f>(12*Q11*'Data Input 1'!$O$8)+(Q32*'Data Input 1'!$O$10+Q33*'Data Input 1'!$O$11+Q34*'Data Input 1'!$O$12+Q35*'Data Input 1'!$O$13+Q36*'Data Input 1'!$O$14)/1000</f>
        <v>242624.47500000001</v>
      </c>
      <c r="R57" s="164">
        <f>(12*R11*'Data Input 1'!$O$8)+(R32*'Data Input 1'!$O$10+R33*'Data Input 1'!$O$11+R34*'Data Input 1'!$O$12+R35*'Data Input 1'!$O$13+R36*'Data Input 1'!$O$14)/1000</f>
        <v>242624.47500000001</v>
      </c>
      <c r="S57" s="164">
        <f>(12*S11*'Data Input 1'!$O$8)+(S32*'Data Input 1'!$O$10+S33*'Data Input 1'!$O$11+S34*'Data Input 1'!$O$12+S35*'Data Input 1'!$O$13+S36*'Data Input 1'!$O$14)/1000</f>
        <v>242624.47500000001</v>
      </c>
      <c r="T57" s="164">
        <f>(12*T11*'Data Input 1'!$O$8)+(T32*'Data Input 1'!$O$10+T33*'Data Input 1'!$O$11+T34*'Data Input 1'!$O$12+T35*'Data Input 1'!$O$13+T36*'Data Input 1'!$O$14)/1000</f>
        <v>242624.47500000001</v>
      </c>
      <c r="U57" s="164">
        <f>(12*U11*'Data Input 1'!$O$8)+(U32*'Data Input 1'!$O$10+U33*'Data Input 1'!$O$11+U34*'Data Input 1'!$O$12+U35*'Data Input 1'!$O$13+U36*'Data Input 1'!$O$14)/1000</f>
        <v>242624.47500000001</v>
      </c>
      <c r="V57" s="164">
        <f>(12*V11*'Data Input 1'!$O$8)+(V32*'Data Input 1'!$O$10+V33*'Data Input 1'!$O$11+V34*'Data Input 1'!$O$12+V35*'Data Input 1'!$O$13+V36*'Data Input 1'!$O$14)/1000</f>
        <v>242624.47500000001</v>
      </c>
      <c r="W57" s="164">
        <f>(12*W11*'Data Input 1'!$O$8)+(W32*'Data Input 1'!$O$10+W33*'Data Input 1'!$O$11+W34*'Data Input 1'!$O$12+W35*'Data Input 1'!$O$13+W36*'Data Input 1'!$O$14)/1000</f>
        <v>242624.47500000001</v>
      </c>
      <c r="X57" s="164">
        <f>(12*X11*'Data Input 1'!$O$8)+(X32*'Data Input 1'!$O$10+X33*'Data Input 1'!$O$11+X34*'Data Input 1'!$O$12+X35*'Data Input 1'!$O$13+X36*'Data Input 1'!$O$14)/1000</f>
        <v>242624.47500000001</v>
      </c>
    </row>
    <row r="58" spans="1:24" x14ac:dyDescent="0.2">
      <c r="A58" s="150" t="s">
        <v>66</v>
      </c>
      <c r="B58" s="154"/>
      <c r="C58" s="163">
        <f>(12*C12*'Data Input 1'!$N$16)+(C39*'Data Input 1'!$N$18+C40*'Data Input 1'!$N$19+C41*'Data Input 1'!$N$20+C42*'Data Input 1'!$N$21+C43*'Data Input 1'!$N$22)/1000</f>
        <v>82934.399999999994</v>
      </c>
      <c r="D58" s="164">
        <f>(12*D12*'Data Input 1'!$O$16)+(D39*'Data Input 1'!$O$18+D40*'Data Input 1'!$O$19+D41*'Data Input 1'!$O$20+D42*'Data Input 1'!$O$21+D43*'Data Input 1'!$O$22)/1000</f>
        <v>100619.4</v>
      </c>
      <c r="E58" s="164">
        <f>(12*E12*'Data Input 1'!$O$16)+(E39*'Data Input 1'!$O$18+E40*'Data Input 1'!$O$19+E41*'Data Input 1'!$O$20+E42*'Data Input 1'!$O$21+E43*'Data Input 1'!$O$22)/1000</f>
        <v>100619.4</v>
      </c>
      <c r="F58" s="164">
        <f>(12*F12*'Data Input 1'!$O$16)+(F39*'Data Input 1'!$O$18+F40*'Data Input 1'!$O$19+F41*'Data Input 1'!$O$20+F42*'Data Input 1'!$O$21+F43*'Data Input 1'!$O$22)/1000</f>
        <v>100619.4</v>
      </c>
      <c r="G58" s="164">
        <f>(12*G12*'Data Input 1'!$O$16)+(G39*'Data Input 1'!$O$18+G40*'Data Input 1'!$O$19+G41*'Data Input 1'!$O$20+G42*'Data Input 1'!$O$21+G43*'Data Input 1'!$O$22)/1000</f>
        <v>100619.4</v>
      </c>
      <c r="H58" s="164">
        <f>(12*H12*'Data Input 1'!$O$16)+(H39*'Data Input 1'!$O$18+H40*'Data Input 1'!$O$19+H41*'Data Input 1'!$O$20+H42*'Data Input 1'!$O$21+H43*'Data Input 1'!$O$22)/1000</f>
        <v>100619.4</v>
      </c>
      <c r="I58" s="164">
        <f>(12*I12*'Data Input 1'!$O$16)+(I39*'Data Input 1'!$O$18+I40*'Data Input 1'!$O$19+I41*'Data Input 1'!$O$20+I42*'Data Input 1'!$O$21+I43*'Data Input 1'!$O$22)/1000</f>
        <v>100619.4</v>
      </c>
      <c r="J58" s="164">
        <f>(12*J12*'Data Input 1'!$O$16)+(J39*'Data Input 1'!$O$18+J40*'Data Input 1'!$O$19+J41*'Data Input 1'!$O$20+J42*'Data Input 1'!$O$21+J43*'Data Input 1'!$O$22)/1000</f>
        <v>100619.4</v>
      </c>
      <c r="K58" s="164">
        <f>(12*K12*'Data Input 1'!$O$16)+(K39*'Data Input 1'!$O$18+K40*'Data Input 1'!$O$19+K41*'Data Input 1'!$O$20+K42*'Data Input 1'!$O$21+K43*'Data Input 1'!$O$22)/1000</f>
        <v>100619.4</v>
      </c>
      <c r="L58" s="164">
        <f>(12*L12*'Data Input 1'!$O$16)+(L39*'Data Input 1'!$O$18+L40*'Data Input 1'!$O$19+L41*'Data Input 1'!$O$20+L42*'Data Input 1'!$O$21+L43*'Data Input 1'!$O$22)/1000</f>
        <v>100619.4</v>
      </c>
      <c r="M58" s="164">
        <f>(12*M12*'Data Input 1'!$O$16)+(M39*'Data Input 1'!$O$18+M40*'Data Input 1'!$O$19+M41*'Data Input 1'!$O$20+M42*'Data Input 1'!$O$21+M43*'Data Input 1'!$O$22)/1000</f>
        <v>100619.4</v>
      </c>
      <c r="N58" s="164">
        <f>(12*N12*'Data Input 1'!$O$16)+(N39*'Data Input 1'!$O$18+N40*'Data Input 1'!$O$19+N41*'Data Input 1'!$O$20+N42*'Data Input 1'!$O$21+N43*'Data Input 1'!$O$22)/1000</f>
        <v>100619.4</v>
      </c>
      <c r="O58" s="164">
        <f>(12*O12*'Data Input 1'!$O$16)+(O39*'Data Input 1'!$O$18+O40*'Data Input 1'!$O$19+O41*'Data Input 1'!$O$20+O42*'Data Input 1'!$O$21+O43*'Data Input 1'!$O$22)/1000</f>
        <v>100619.4</v>
      </c>
      <c r="P58" s="164">
        <f>(12*P12*'Data Input 1'!$O$16)+(P39*'Data Input 1'!$O$18+P40*'Data Input 1'!$O$19+P41*'Data Input 1'!$O$20+P42*'Data Input 1'!$O$21+P43*'Data Input 1'!$O$22)/1000</f>
        <v>100619.4</v>
      </c>
      <c r="Q58" s="164">
        <f>(12*Q12*'Data Input 1'!$O$16)+(Q39*'Data Input 1'!$O$18+Q40*'Data Input 1'!$O$19+Q41*'Data Input 1'!$O$20+Q42*'Data Input 1'!$O$21+Q43*'Data Input 1'!$O$22)/1000</f>
        <v>100619.4</v>
      </c>
      <c r="R58" s="164">
        <f>(12*R12*'Data Input 1'!$O$16)+(R39*'Data Input 1'!$O$18+R40*'Data Input 1'!$O$19+R41*'Data Input 1'!$O$20+R42*'Data Input 1'!$O$21+R43*'Data Input 1'!$O$22)/1000</f>
        <v>100619.4</v>
      </c>
      <c r="S58" s="164">
        <f>(12*S12*'Data Input 1'!$O$16)+(S39*'Data Input 1'!$O$18+S40*'Data Input 1'!$O$19+S41*'Data Input 1'!$O$20+S42*'Data Input 1'!$O$21+S43*'Data Input 1'!$O$22)/1000</f>
        <v>100619.4</v>
      </c>
      <c r="T58" s="164">
        <f>(12*T12*'Data Input 1'!$O$16)+(T39*'Data Input 1'!$O$18+T40*'Data Input 1'!$O$19+T41*'Data Input 1'!$O$20+T42*'Data Input 1'!$O$21+T43*'Data Input 1'!$O$22)/1000</f>
        <v>100619.4</v>
      </c>
      <c r="U58" s="164">
        <f>(12*U12*'Data Input 1'!$O$16)+(U39*'Data Input 1'!$O$18+U40*'Data Input 1'!$O$19+U41*'Data Input 1'!$O$20+U42*'Data Input 1'!$O$21+U43*'Data Input 1'!$O$22)/1000</f>
        <v>100619.4</v>
      </c>
      <c r="V58" s="164">
        <f>(12*V12*'Data Input 1'!$O$16)+(V39*'Data Input 1'!$O$18+V40*'Data Input 1'!$O$19+V41*'Data Input 1'!$O$20+V42*'Data Input 1'!$O$21+V43*'Data Input 1'!$O$22)/1000</f>
        <v>100619.4</v>
      </c>
      <c r="W58" s="164">
        <f>(12*W12*'Data Input 1'!$O$16)+(W39*'Data Input 1'!$O$18+W40*'Data Input 1'!$O$19+W41*'Data Input 1'!$O$20+W42*'Data Input 1'!$O$21+W43*'Data Input 1'!$O$22)/1000</f>
        <v>100619.4</v>
      </c>
      <c r="X58" s="164">
        <f>(12*X12*'Data Input 1'!$O$16)+(X39*'Data Input 1'!$O$18+X40*'Data Input 1'!$O$19+X41*'Data Input 1'!$O$20+X42*'Data Input 1'!$O$21+X43*'Data Input 1'!$O$22)/1000</f>
        <v>100619.4</v>
      </c>
    </row>
    <row r="59" spans="1:24" x14ac:dyDescent="0.2">
      <c r="A59" s="150" t="s">
        <v>27</v>
      </c>
      <c r="B59" s="154"/>
      <c r="C59" s="163">
        <f>(12*C14*'Data Input 1'!$F$27)+(C47*'Data Input 1'!$F$29+C48*'Data Input 1'!$F$30+C49*'Data Input 1'!$F$31+C50*'Data Input 1'!$F$32+C51*'Data Input 1'!$F$33)/1000</f>
        <v>43200</v>
      </c>
      <c r="D59" s="164">
        <f>(12*D14*'Data Input 1'!$G$27)+(D47*'Data Input 1'!$G$29+D48*'Data Input 1'!$G$30+D49*'Data Input 1'!$G$31+D50*'Data Input 1'!$G$32+D51*'Data Input 1'!$G$33)/1000</f>
        <v>48654.000000000007</v>
      </c>
      <c r="E59" s="164">
        <f>(12*E14*'Data Input 1'!$G$27)+(E47*'Data Input 1'!$G$29+E48*'Data Input 1'!$G$30+E49*'Data Input 1'!$G$31+E50*'Data Input 1'!$G$32+E51*'Data Input 1'!$G$33)/1000</f>
        <v>48865.44000000001</v>
      </c>
      <c r="F59" s="164">
        <f>(12*F14*'Data Input 1'!$G$27)+(F47*'Data Input 1'!$G$29+F48*'Data Input 1'!$G$30+F49*'Data Input 1'!$G$31+F50*'Data Input 1'!$G$32+F51*'Data Input 1'!$G$33)/1000</f>
        <v>49063.456800000007</v>
      </c>
      <c r="G59" s="164">
        <f>(12*G14*'Data Input 1'!$G$27)+(G47*'Data Input 1'!$G$29+G48*'Data Input 1'!$G$30+G49*'Data Input 1'!$G$31+G50*'Data Input 1'!$G$32+G51*'Data Input 1'!$G$33)/1000</f>
        <v>49248.598752000005</v>
      </c>
      <c r="H59" s="164">
        <f>(12*H14*'Data Input 1'!$G$27)+(H47*'Data Input 1'!$G$29+H48*'Data Input 1'!$G$30+H49*'Data Input 1'!$G$31+H50*'Data Input 1'!$G$32+H51*'Data Input 1'!$G$33)/1000</f>
        <v>49421.397643200013</v>
      </c>
      <c r="I59" s="164">
        <f>(12*I14*'Data Input 1'!$G$27)+(I47*'Data Input 1'!$G$29+I48*'Data Input 1'!$G$30+I49*'Data Input 1'!$G$31+I50*'Data Input 1'!$G$32+I51*'Data Input 1'!$G$33)/1000</f>
        <v>49582.369139251205</v>
      </c>
      <c r="J59" s="164">
        <f>(12*J14*'Data Input 1'!$G$27)+(J47*'Data Input 1'!$G$29+J48*'Data Input 1'!$G$30+J49*'Data Input 1'!$G$31+J50*'Data Input 1'!$G$32+J51*'Data Input 1'!$G$33)/1000</f>
        <v>49732.013216403073</v>
      </c>
      <c r="K59" s="164">
        <f>(12*K14*'Data Input 1'!$G$27)+(K47*'Data Input 1'!$G$29+K48*'Data Input 1'!$G$30+K49*'Data Input 1'!$G$31+K50*'Data Input 1'!$G$32+K51*'Data Input 1'!$G$33)/1000</f>
        <v>49870.814582813175</v>
      </c>
      <c r="L59" s="164">
        <f>(12*L14*'Data Input 1'!$G$27)+(L47*'Data Input 1'!$G$29+L48*'Data Input 1'!$G$30+L49*'Data Input 1'!$G$31+L50*'Data Input 1'!$G$32+L51*'Data Input 1'!$G$33)/1000</f>
        <v>49999.243089280302</v>
      </c>
      <c r="M59" s="164">
        <f>(12*M14*'Data Input 1'!$G$27)+(M47*'Data Input 1'!$G$29+M48*'Data Input 1'!$G$30+M49*'Data Input 1'!$G$31+M50*'Data Input 1'!$G$32+M51*'Data Input 1'!$G$33)/1000</f>
        <v>50117.754129655623</v>
      </c>
      <c r="N59" s="164">
        <f>(12*N14*'Data Input 1'!$G$27)+(N47*'Data Input 1'!$G$29+N48*'Data Input 1'!$G$30+N49*'Data Input 1'!$G$31+N50*'Data Input 1'!$G$32+N51*'Data Input 1'!$G$33)/1000</f>
        <v>50226.789031180218</v>
      </c>
      <c r="O59" s="164">
        <f>(12*O14*'Data Input 1'!$G$27)+(O47*'Data Input 1'!$G$29+O48*'Data Input 1'!$G$30+O49*'Data Input 1'!$G$31+O50*'Data Input 1'!$G$32+O51*'Data Input 1'!$G$33)/1000</f>
        <v>50326.775434991963</v>
      </c>
      <c r="P59" s="164">
        <f>(12*P14*'Data Input 1'!$G$27)+(P47*'Data Input 1'!$G$29+P48*'Data Input 1'!$G$30+P49*'Data Input 1'!$G$31+P50*'Data Input 1'!$G$32+P51*'Data Input 1'!$G$33)/1000</f>
        <v>50418.127667038767</v>
      </c>
      <c r="Q59" s="164">
        <f>(12*Q14*'Data Input 1'!$G$27)+(Q47*'Data Input 1'!$G$29+Q48*'Data Input 1'!$G$30+Q49*'Data Input 1'!$G$31+Q50*'Data Input 1'!$G$32+Q51*'Data Input 1'!$G$33)/1000</f>
        <v>50501.247099629705</v>
      </c>
      <c r="R59" s="164">
        <f>(12*R14*'Data Input 1'!$G$27)+(R47*'Data Input 1'!$G$29+R48*'Data Input 1'!$G$30+R49*'Data Input 1'!$G$31+R50*'Data Input 1'!$G$32+R51*'Data Input 1'!$G$33)/1000</f>
        <v>50576.522503850189</v>
      </c>
      <c r="S59" s="164">
        <f>(12*S14*'Data Input 1'!$G$27)+(S47*'Data Input 1'!$G$29+S48*'Data Input 1'!$G$30+S49*'Data Input 1'!$G$31+S50*'Data Input 1'!$G$32+S51*'Data Input 1'!$G$33)/1000</f>
        <v>50644.330393062002</v>
      </c>
      <c r="T59" s="164">
        <f>(12*T14*'Data Input 1'!$G$27)+(T47*'Data Input 1'!$G$29+T48*'Data Input 1'!$G$30+T49*'Data Input 1'!$G$31+T50*'Data Input 1'!$G$32+T51*'Data Input 1'!$G$33)/1000</f>
        <v>50705.035357703811</v>
      </c>
      <c r="U59" s="164">
        <f>(12*U14*'Data Input 1'!$G$27)+(U47*'Data Input 1'!$G$29+U48*'Data Input 1'!$G$30+U49*'Data Input 1'!$G$31+U50*'Data Input 1'!$G$32+U51*'Data Input 1'!$G$33)/1000</f>
        <v>50758.990391602711</v>
      </c>
      <c r="V59" s="164">
        <f>(12*V14*'Data Input 1'!$G$27)+(V47*'Data Input 1'!$G$29+V48*'Data Input 1'!$G$30+V49*'Data Input 1'!$G$31+V50*'Data Input 1'!$G$32+V51*'Data Input 1'!$G$33)/1000</f>
        <v>50806.537210002578</v>
      </c>
      <c r="W59" s="164">
        <f>(12*W14*'Data Input 1'!$G$27)+(W47*'Data Input 1'!$G$29+W48*'Data Input 1'!$G$30+W49*'Data Input 1'!$G$31+W50*'Data Input 1'!$G$32+W51*'Data Input 1'!$G$33)/1000</f>
        <v>50848.006559509806</v>
      </c>
      <c r="X59" s="164">
        <f>(12*X14*'Data Input 1'!$G$27)+(X47*'Data Input 1'!$G$29+X48*'Data Input 1'!$G$30+X49*'Data Input 1'!$G$31+X50*'Data Input 1'!$G$32+X51*'Data Input 1'!$G$33)/1000</f>
        <v>50883.718520152746</v>
      </c>
    </row>
    <row r="60" spans="1:24" x14ac:dyDescent="0.2">
      <c r="A60" s="159" t="s">
        <v>67</v>
      </c>
      <c r="B60" s="154"/>
      <c r="C60" s="165">
        <f>SUM(C55:C59)</f>
        <v>931070.4</v>
      </c>
      <c r="D60" s="165">
        <f t="shared" ref="D60:O60" si="11">SUM(D55:D59)</f>
        <v>1107560.1273749999</v>
      </c>
      <c r="E60" s="165">
        <f t="shared" si="11"/>
        <v>1112232.0920775</v>
      </c>
      <c r="F60" s="165">
        <f t="shared" si="11"/>
        <v>1116865.6680607125</v>
      </c>
      <c r="G60" s="165">
        <f t="shared" si="11"/>
        <v>1121461.9081345529</v>
      </c>
      <c r="H60" s="165">
        <f t="shared" si="11"/>
        <v>1126021.8409515307</v>
      </c>
      <c r="I60" s="165">
        <f t="shared" si="11"/>
        <v>1130922.450706234</v>
      </c>
      <c r="J60" s="165">
        <f t="shared" si="11"/>
        <v>1135786.0206200338</v>
      </c>
      <c r="K60" s="165">
        <f t="shared" si="11"/>
        <v>1141010.8240553492</v>
      </c>
      <c r="L60" s="165">
        <f t="shared" si="11"/>
        <v>1146197.8999761036</v>
      </c>
      <c r="M60" s="165">
        <f t="shared" si="11"/>
        <v>1151348.2438690329</v>
      </c>
      <c r="N60" s="165">
        <f t="shared" si="11"/>
        <v>1156462.8290878721</v>
      </c>
      <c r="O60" s="165">
        <f t="shared" si="11"/>
        <v>1161542.6073411778</v>
      </c>
      <c r="P60" s="165">
        <f t="shared" ref="P60:S60" si="12">SUM(P55:P59)</f>
        <v>1166588.509169223</v>
      </c>
      <c r="Q60" s="165">
        <f t="shared" si="12"/>
        <v>1171601.4444102019</v>
      </c>
      <c r="R60" s="165">
        <f t="shared" si="12"/>
        <v>1176582.3026559926</v>
      </c>
      <c r="S60" s="165">
        <f t="shared" si="12"/>
        <v>1181894.9308079132</v>
      </c>
      <c r="T60" s="165">
        <f t="shared" ref="T60:X60" si="13">SUM(T55:T59)</f>
        <v>1187174.7426394946</v>
      </c>
      <c r="U60" s="165">
        <f t="shared" si="13"/>
        <v>1192422.6065304528</v>
      </c>
      <c r="V60" s="165">
        <f t="shared" si="13"/>
        <v>1198022.6964125938</v>
      </c>
      <c r="W60" s="165">
        <f t="shared" si="13"/>
        <v>1203590.1319904537</v>
      </c>
      <c r="X60" s="165">
        <f t="shared" si="13"/>
        <v>1209125.761626462</v>
      </c>
    </row>
    <row r="61" spans="1:24" x14ac:dyDescent="0.2">
      <c r="A61" s="166"/>
      <c r="B61" s="167"/>
      <c r="C61" s="168"/>
      <c r="D61" s="169"/>
      <c r="E61" s="170"/>
      <c r="F61" s="170"/>
      <c r="G61" s="170"/>
      <c r="H61" s="170"/>
      <c r="I61" s="170"/>
      <c r="J61" s="170"/>
      <c r="K61" s="170"/>
      <c r="L61" s="170"/>
      <c r="M61" s="170"/>
      <c r="N61" s="170"/>
      <c r="O61" s="171"/>
      <c r="P61" s="171"/>
      <c r="Q61" s="171"/>
      <c r="R61" s="171"/>
      <c r="S61" s="171"/>
      <c r="T61" s="171"/>
      <c r="U61" s="171"/>
      <c r="V61" s="171"/>
      <c r="W61" s="171"/>
      <c r="X61" s="171"/>
    </row>
    <row r="62" spans="1:24" x14ac:dyDescent="0.2">
      <c r="A62" s="172" t="s">
        <v>15</v>
      </c>
      <c r="B62" s="173">
        <f>'Data Input 1'!G38</f>
        <v>2400</v>
      </c>
      <c r="C62" s="165">
        <f>IF(((C9-ROUND((C9/(1+'Data Input 1'!$O$28)),0))+(C12-ROUND((C12/(1+'Data Input 1'!$O$31)),0)))&lt;=0,0,((C9-ROUND((C9/(1+'Data Input 1'!$O$28)),0))+(C12-ROUND((C12/(1+'Data Input 1'!$O$31)),0)))*'Fund Balance - Existing Rates'!$B$62)</f>
        <v>16000</v>
      </c>
      <c r="D62" s="168">
        <f>IF(D12-C12+D9-C9&lt;=0,0,(D12-C12+D9-C9)*$B$62)</f>
        <v>19200</v>
      </c>
      <c r="E62" s="168">
        <f t="shared" ref="E62:X62" si="14">IF(E12-D12+E9-D9&lt;=0,0,(E12-D12+E9-D9)*$B$62)</f>
        <v>19200</v>
      </c>
      <c r="F62" s="168">
        <f t="shared" si="14"/>
        <v>19200</v>
      </c>
      <c r="G62" s="168">
        <f t="shared" si="14"/>
        <v>19200</v>
      </c>
      <c r="H62" s="168">
        <f t="shared" si="14"/>
        <v>19200</v>
      </c>
      <c r="I62" s="168">
        <f t="shared" si="14"/>
        <v>19200</v>
      </c>
      <c r="J62" s="168">
        <f t="shared" si="14"/>
        <v>19200</v>
      </c>
      <c r="K62" s="168">
        <f t="shared" si="14"/>
        <v>21600</v>
      </c>
      <c r="L62" s="168">
        <f t="shared" si="14"/>
        <v>21600</v>
      </c>
      <c r="M62" s="168">
        <f t="shared" si="14"/>
        <v>21600</v>
      </c>
      <c r="N62" s="168">
        <f t="shared" si="14"/>
        <v>21600</v>
      </c>
      <c r="O62" s="168">
        <f t="shared" si="14"/>
        <v>21600</v>
      </c>
      <c r="P62" s="168">
        <f t="shared" si="14"/>
        <v>21600</v>
      </c>
      <c r="Q62" s="168">
        <f t="shared" si="14"/>
        <v>21600</v>
      </c>
      <c r="R62" s="168">
        <f t="shared" si="14"/>
        <v>21600</v>
      </c>
      <c r="S62" s="168">
        <f t="shared" si="14"/>
        <v>21600</v>
      </c>
      <c r="T62" s="168">
        <f t="shared" si="14"/>
        <v>21600</v>
      </c>
      <c r="U62" s="168">
        <f t="shared" si="14"/>
        <v>21600</v>
      </c>
      <c r="V62" s="168">
        <f t="shared" si="14"/>
        <v>24000</v>
      </c>
      <c r="W62" s="168">
        <f t="shared" si="14"/>
        <v>24000</v>
      </c>
      <c r="X62" s="168">
        <f t="shared" si="14"/>
        <v>24000</v>
      </c>
    </row>
    <row r="63" spans="1:24" x14ac:dyDescent="0.2">
      <c r="A63" s="172" t="s">
        <v>16</v>
      </c>
      <c r="B63" s="173">
        <f>'Data Input 1'!G39</f>
        <v>600</v>
      </c>
      <c r="C63" s="165">
        <f>IF(((C8-ROUND((C8/(1+'Data Input 1'!$O$27)),0))+(C11-ROUND((C11/(1+'Data Input 1'!$O$30)),0)))&lt;=0,0,((C8-ROUND((C8/(1+'Data Input 1'!$O$27)),0))+(C11-ROUND((C11/(1+'Data Input 1'!$O$30)),0)))*'Fund Balance - Existing Rates'!$B$63)</f>
        <v>5000</v>
      </c>
      <c r="D63" s="168">
        <f>IF(D8-C8+D11-C11&lt;=0,0,(D8-C8+D11-C11)*$B$63)</f>
        <v>6000</v>
      </c>
      <c r="E63" s="168">
        <f t="shared" ref="E63:X63" si="15">IF(E8-D8+E11-D11&lt;=0,0,(E8-D8+E11-D11)*$B$63)</f>
        <v>6000</v>
      </c>
      <c r="F63" s="168">
        <f t="shared" si="15"/>
        <v>6000</v>
      </c>
      <c r="G63" s="168">
        <f t="shared" si="15"/>
        <v>6000</v>
      </c>
      <c r="H63" s="168">
        <f t="shared" si="15"/>
        <v>6000</v>
      </c>
      <c r="I63" s="168">
        <f t="shared" si="15"/>
        <v>6600</v>
      </c>
      <c r="J63" s="168">
        <f t="shared" si="15"/>
        <v>6600</v>
      </c>
      <c r="K63" s="168">
        <f t="shared" si="15"/>
        <v>6600</v>
      </c>
      <c r="L63" s="168">
        <f t="shared" si="15"/>
        <v>6600</v>
      </c>
      <c r="M63" s="168">
        <f t="shared" si="15"/>
        <v>6600</v>
      </c>
      <c r="N63" s="168">
        <f t="shared" si="15"/>
        <v>6600</v>
      </c>
      <c r="O63" s="168">
        <f t="shared" si="15"/>
        <v>6600</v>
      </c>
      <c r="P63" s="168">
        <f t="shared" si="15"/>
        <v>6600</v>
      </c>
      <c r="Q63" s="168">
        <f t="shared" si="15"/>
        <v>6600</v>
      </c>
      <c r="R63" s="168">
        <f t="shared" si="15"/>
        <v>6600</v>
      </c>
      <c r="S63" s="168">
        <f t="shared" si="15"/>
        <v>7200</v>
      </c>
      <c r="T63" s="168">
        <f t="shared" si="15"/>
        <v>7200</v>
      </c>
      <c r="U63" s="168">
        <f t="shared" si="15"/>
        <v>7200</v>
      </c>
      <c r="V63" s="168">
        <f t="shared" si="15"/>
        <v>7200</v>
      </c>
      <c r="W63" s="168">
        <f t="shared" si="15"/>
        <v>7200</v>
      </c>
      <c r="X63" s="168">
        <f t="shared" si="15"/>
        <v>7200</v>
      </c>
    </row>
    <row r="64" spans="1:24" s="140" customFormat="1" x14ac:dyDescent="0.2">
      <c r="A64" s="166" t="s">
        <v>31</v>
      </c>
      <c r="B64" s="173">
        <f>'Data Input 1'!G40</f>
        <v>2500</v>
      </c>
      <c r="C64" s="165">
        <f>IF((C14-ROUND((C14/(1+'Data Input 1'!$O$33)),0))&lt;=0,0,(C14-ROUND((C14/(1+'Data Input 1'!$O$33)),0))*'Fund Balance - Existing Rates'!$B$64)</f>
        <v>0</v>
      </c>
      <c r="D64" s="168">
        <f>IF(D14-C14&lt;=0,0,(D14-C14)*$B$64)</f>
        <v>2500</v>
      </c>
      <c r="E64" s="168">
        <f t="shared" ref="E64:X64" si="16">IF(E14-D14&lt;=0,0,(E14-D14)*$B$64)</f>
        <v>2500</v>
      </c>
      <c r="F64" s="168">
        <f t="shared" si="16"/>
        <v>2500</v>
      </c>
      <c r="G64" s="168">
        <f t="shared" si="16"/>
        <v>2500</v>
      </c>
      <c r="H64" s="168">
        <f t="shared" si="16"/>
        <v>2500</v>
      </c>
      <c r="I64" s="168">
        <f t="shared" si="16"/>
        <v>2500</v>
      </c>
      <c r="J64" s="168">
        <f t="shared" si="16"/>
        <v>2500</v>
      </c>
      <c r="K64" s="168">
        <f t="shared" si="16"/>
        <v>2500</v>
      </c>
      <c r="L64" s="168">
        <f t="shared" si="16"/>
        <v>2500</v>
      </c>
      <c r="M64" s="168">
        <f t="shared" si="16"/>
        <v>2500</v>
      </c>
      <c r="N64" s="168">
        <f t="shared" si="16"/>
        <v>2500</v>
      </c>
      <c r="O64" s="168">
        <f t="shared" si="16"/>
        <v>2500</v>
      </c>
      <c r="P64" s="168">
        <f t="shared" si="16"/>
        <v>2500</v>
      </c>
      <c r="Q64" s="168">
        <f t="shared" si="16"/>
        <v>2500</v>
      </c>
      <c r="R64" s="168">
        <f t="shared" si="16"/>
        <v>2500</v>
      </c>
      <c r="S64" s="168">
        <f t="shared" si="16"/>
        <v>2500</v>
      </c>
      <c r="T64" s="168">
        <f t="shared" si="16"/>
        <v>2500</v>
      </c>
      <c r="U64" s="168">
        <f t="shared" si="16"/>
        <v>2500</v>
      </c>
      <c r="V64" s="168">
        <f t="shared" si="16"/>
        <v>2500</v>
      </c>
      <c r="W64" s="168">
        <f t="shared" si="16"/>
        <v>2500</v>
      </c>
      <c r="X64" s="168">
        <f t="shared" si="16"/>
        <v>2500</v>
      </c>
    </row>
    <row r="65" spans="1:24" s="140" customFormat="1" x14ac:dyDescent="0.2">
      <c r="A65" s="166"/>
      <c r="B65" s="173"/>
      <c r="C65" s="165"/>
      <c r="D65" s="168"/>
      <c r="E65" s="168"/>
      <c r="F65" s="168"/>
      <c r="G65" s="168"/>
      <c r="H65" s="168"/>
      <c r="I65" s="168"/>
      <c r="J65" s="168"/>
      <c r="K65" s="168"/>
      <c r="L65" s="168"/>
      <c r="M65" s="168"/>
      <c r="N65" s="168"/>
      <c r="O65" s="168"/>
      <c r="P65" s="168"/>
      <c r="Q65" s="168"/>
      <c r="R65" s="168"/>
      <c r="S65" s="168"/>
      <c r="T65" s="168"/>
      <c r="U65" s="168"/>
      <c r="V65" s="168"/>
      <c r="W65" s="168"/>
      <c r="X65" s="168"/>
    </row>
    <row r="66" spans="1:24" x14ac:dyDescent="0.2">
      <c r="A66" s="174" t="s">
        <v>13</v>
      </c>
      <c r="B66" s="175">
        <f>'Data Input 1'!N38</f>
        <v>0.02</v>
      </c>
      <c r="C66" s="176">
        <f t="shared" ref="C66:X66" si="17">$B$66*C60</f>
        <v>18621.407999999999</v>
      </c>
      <c r="D66" s="176">
        <f t="shared" si="17"/>
        <v>22151.202547499997</v>
      </c>
      <c r="E66" s="176">
        <f t="shared" si="17"/>
        <v>22244.641841550001</v>
      </c>
      <c r="F66" s="176">
        <f t="shared" si="17"/>
        <v>22337.313361214252</v>
      </c>
      <c r="G66" s="176">
        <f t="shared" si="17"/>
        <v>22429.238162691057</v>
      </c>
      <c r="H66" s="176">
        <f t="shared" si="17"/>
        <v>22520.436819030616</v>
      </c>
      <c r="I66" s="176">
        <f t="shared" si="17"/>
        <v>22618.449014124679</v>
      </c>
      <c r="J66" s="176">
        <f t="shared" si="17"/>
        <v>22715.720412400678</v>
      </c>
      <c r="K66" s="176">
        <f t="shared" si="17"/>
        <v>22820.216481106985</v>
      </c>
      <c r="L66" s="176">
        <f t="shared" si="17"/>
        <v>22923.95799952207</v>
      </c>
      <c r="M66" s="176">
        <f t="shared" si="17"/>
        <v>23026.964877380658</v>
      </c>
      <c r="N66" s="176">
        <f t="shared" si="17"/>
        <v>23129.256581757443</v>
      </c>
      <c r="O66" s="176">
        <f t="shared" si="17"/>
        <v>23230.852146823556</v>
      </c>
      <c r="P66" s="176">
        <f t="shared" si="17"/>
        <v>23331.770183384462</v>
      </c>
      <c r="Q66" s="176">
        <f t="shared" si="17"/>
        <v>23432.028888204037</v>
      </c>
      <c r="R66" s="176">
        <f t="shared" si="17"/>
        <v>23531.64605311985</v>
      </c>
      <c r="S66" s="176">
        <f t="shared" si="17"/>
        <v>23637.898616158265</v>
      </c>
      <c r="T66" s="176">
        <f t="shared" si="17"/>
        <v>23743.494852789892</v>
      </c>
      <c r="U66" s="176">
        <f t="shared" si="17"/>
        <v>23848.452130609057</v>
      </c>
      <c r="V66" s="176">
        <f t="shared" si="17"/>
        <v>23960.453928251878</v>
      </c>
      <c r="W66" s="176">
        <f t="shared" si="17"/>
        <v>24071.802639809073</v>
      </c>
      <c r="X66" s="176">
        <f t="shared" si="17"/>
        <v>24182.51523252924</v>
      </c>
    </row>
    <row r="67" spans="1:24" s="180" customFormat="1" ht="15.75" thickBot="1" x14ac:dyDescent="0.3">
      <c r="A67" s="177" t="s">
        <v>14</v>
      </c>
      <c r="B67" s="178"/>
      <c r="C67" s="179">
        <f>SUM(C62:C64)+C60-C66</f>
        <v>933448.99199999997</v>
      </c>
      <c r="D67" s="179">
        <f t="shared" ref="D67:X67" si="18">SUM(D62:D64)+D60-D66</f>
        <v>1113108.9248275</v>
      </c>
      <c r="E67" s="179">
        <f t="shared" si="18"/>
        <v>1117687.4502359501</v>
      </c>
      <c r="F67" s="179">
        <f t="shared" si="18"/>
        <v>1122228.3546994983</v>
      </c>
      <c r="G67" s="179">
        <f t="shared" si="18"/>
        <v>1126732.6699718619</v>
      </c>
      <c r="H67" s="179">
        <f t="shared" si="18"/>
        <v>1131201.4041325001</v>
      </c>
      <c r="I67" s="179">
        <f t="shared" si="18"/>
        <v>1136604.0016921093</v>
      </c>
      <c r="J67" s="179">
        <f t="shared" si="18"/>
        <v>1141370.3002076331</v>
      </c>
      <c r="K67" s="179">
        <f t="shared" si="18"/>
        <v>1148890.6075742422</v>
      </c>
      <c r="L67" s="179">
        <f t="shared" si="18"/>
        <v>1153973.9419765815</v>
      </c>
      <c r="M67" s="179">
        <f t="shared" si="18"/>
        <v>1159021.2789916522</v>
      </c>
      <c r="N67" s="179">
        <f t="shared" si="18"/>
        <v>1164033.5725061146</v>
      </c>
      <c r="O67" s="179">
        <f t="shared" si="18"/>
        <v>1169011.7551943541</v>
      </c>
      <c r="P67" s="179">
        <f t="shared" si="18"/>
        <v>1173956.7389858386</v>
      </c>
      <c r="Q67" s="179">
        <f t="shared" si="18"/>
        <v>1178869.4155219977</v>
      </c>
      <c r="R67" s="179">
        <f t="shared" si="18"/>
        <v>1183750.6566028728</v>
      </c>
      <c r="S67" s="179">
        <f t="shared" si="18"/>
        <v>1189557.032191755</v>
      </c>
      <c r="T67" s="179">
        <f t="shared" si="18"/>
        <v>1194731.2477867047</v>
      </c>
      <c r="U67" s="179">
        <f t="shared" si="18"/>
        <v>1199874.1543998439</v>
      </c>
      <c r="V67" s="179">
        <f t="shared" si="18"/>
        <v>1207762.2424843418</v>
      </c>
      <c r="W67" s="179">
        <f t="shared" si="18"/>
        <v>1213218.3293506447</v>
      </c>
      <c r="X67" s="179">
        <f t="shared" si="18"/>
        <v>1218643.2463939327</v>
      </c>
    </row>
    <row r="68" spans="1:24" s="145" customFormat="1" ht="13.5" thickTop="1" x14ac:dyDescent="0.2">
      <c r="A68" s="181"/>
      <c r="B68" s="182"/>
      <c r="C68" s="140"/>
      <c r="D68" s="139"/>
      <c r="E68" s="139"/>
      <c r="F68" s="139"/>
      <c r="G68" s="139"/>
      <c r="H68" s="139"/>
      <c r="I68" s="139"/>
      <c r="J68" s="139"/>
      <c r="K68" s="139"/>
      <c r="L68" s="139"/>
      <c r="M68" s="139"/>
      <c r="N68" s="139"/>
      <c r="O68" s="139"/>
      <c r="P68" s="139"/>
      <c r="Q68" s="139"/>
      <c r="R68" s="139"/>
      <c r="S68" s="139"/>
      <c r="T68" s="139"/>
      <c r="U68" s="139"/>
      <c r="V68" s="139"/>
      <c r="W68" s="139"/>
      <c r="X68" s="139"/>
    </row>
    <row r="69" spans="1:24" x14ac:dyDescent="0.2">
      <c r="A69" s="155" t="s">
        <v>69</v>
      </c>
      <c r="B69" s="175">
        <f>'Data Input 2'!K27</f>
        <v>0.04</v>
      </c>
      <c r="C69" s="183"/>
      <c r="D69" s="151"/>
      <c r="E69" s="156"/>
      <c r="F69" s="156"/>
      <c r="G69" s="156"/>
      <c r="H69" s="156"/>
      <c r="I69" s="156"/>
      <c r="J69" s="156"/>
      <c r="K69" s="156"/>
      <c r="L69" s="156"/>
      <c r="M69" s="156"/>
      <c r="N69" s="156"/>
      <c r="O69" s="156"/>
      <c r="P69" s="156"/>
      <c r="Q69" s="156"/>
      <c r="R69" s="156"/>
      <c r="S69" s="156"/>
      <c r="T69" s="156"/>
      <c r="U69" s="156"/>
      <c r="V69" s="156"/>
      <c r="W69" s="156"/>
      <c r="X69" s="156"/>
    </row>
    <row r="70" spans="1:24" x14ac:dyDescent="0.2">
      <c r="A70" s="184" t="s">
        <v>2</v>
      </c>
      <c r="B70" s="144"/>
      <c r="D70" s="185"/>
      <c r="E70" s="185"/>
      <c r="F70" s="185"/>
      <c r="G70" s="185"/>
      <c r="H70" s="185"/>
      <c r="I70" s="185"/>
      <c r="J70" s="185"/>
      <c r="K70" s="185"/>
      <c r="L70" s="185"/>
      <c r="M70" s="185"/>
      <c r="N70" s="185"/>
      <c r="O70" s="185"/>
      <c r="P70" s="185"/>
      <c r="Q70" s="185"/>
      <c r="R70" s="185"/>
      <c r="S70" s="185"/>
      <c r="T70" s="185"/>
      <c r="U70" s="185"/>
      <c r="V70" s="185"/>
      <c r="W70" s="185"/>
      <c r="X70" s="185"/>
    </row>
    <row r="71" spans="1:24" x14ac:dyDescent="0.2">
      <c r="A71" s="172" t="str">
        <f>'Data Input 2'!G14</f>
        <v>Salaries and wages, including part-time and contracts</v>
      </c>
      <c r="B71" s="186">
        <f>'Data Input 2'!K14</f>
        <v>450000</v>
      </c>
      <c r="C71" s="187">
        <f>B71</f>
        <v>450000</v>
      </c>
      <c r="D71" s="164">
        <f>C71*(1+$B$69)</f>
        <v>468000</v>
      </c>
      <c r="E71" s="164">
        <f t="shared" ref="E71:W80" si="19">D71*(1+$B$69)</f>
        <v>486720</v>
      </c>
      <c r="F71" s="164">
        <f t="shared" si="19"/>
        <v>506188.79999999999</v>
      </c>
      <c r="G71" s="164">
        <f t="shared" si="19"/>
        <v>526436.35199999996</v>
      </c>
      <c r="H71" s="164">
        <f t="shared" si="19"/>
        <v>547493.80608000001</v>
      </c>
      <c r="I71" s="164">
        <f t="shared" si="19"/>
        <v>569393.55832319998</v>
      </c>
      <c r="J71" s="164">
        <f t="shared" si="19"/>
        <v>592169.30065612798</v>
      </c>
      <c r="K71" s="164">
        <f t="shared" si="19"/>
        <v>615856.07268237311</v>
      </c>
      <c r="L71" s="164">
        <f t="shared" si="19"/>
        <v>640490.31558966811</v>
      </c>
      <c r="M71" s="164">
        <f t="shared" si="19"/>
        <v>666109.9282132549</v>
      </c>
      <c r="N71" s="164">
        <f t="shared" si="19"/>
        <v>692754.32534178509</v>
      </c>
      <c r="O71" s="164">
        <f t="shared" si="19"/>
        <v>720464.49835545651</v>
      </c>
      <c r="P71" s="164">
        <f t="shared" si="19"/>
        <v>749283.07828967483</v>
      </c>
      <c r="Q71" s="164">
        <f t="shared" si="19"/>
        <v>779254.40142126183</v>
      </c>
      <c r="R71" s="164">
        <f t="shared" si="19"/>
        <v>810424.5774781123</v>
      </c>
      <c r="S71" s="164">
        <f t="shared" si="19"/>
        <v>842841.56057723681</v>
      </c>
      <c r="T71" s="164">
        <f t="shared" si="19"/>
        <v>876555.22300032631</v>
      </c>
      <c r="U71" s="164">
        <f t="shared" si="19"/>
        <v>911617.43192033935</v>
      </c>
      <c r="V71" s="164">
        <f t="shared" si="19"/>
        <v>948082.12919715291</v>
      </c>
      <c r="W71" s="164">
        <f t="shared" si="19"/>
        <v>986005.41436503909</v>
      </c>
      <c r="X71" s="164"/>
    </row>
    <row r="72" spans="1:24" s="188" customFormat="1" x14ac:dyDescent="0.2">
      <c r="A72" s="172" t="str">
        <f>'Data Input 2'!G15</f>
        <v>Supplies</v>
      </c>
      <c r="B72" s="186">
        <f>'Data Input 2'!K15</f>
        <v>25000</v>
      </c>
      <c r="C72" s="187">
        <f t="shared" ref="C72:C81" si="20">B72</f>
        <v>25000</v>
      </c>
      <c r="D72" s="164">
        <f t="shared" ref="D72:S80" si="21">C72*(1+$B$69)</f>
        <v>26000</v>
      </c>
      <c r="E72" s="164">
        <f t="shared" si="21"/>
        <v>27040</v>
      </c>
      <c r="F72" s="164">
        <f t="shared" si="21"/>
        <v>28121.600000000002</v>
      </c>
      <c r="G72" s="164">
        <f t="shared" si="21"/>
        <v>29246.464000000004</v>
      </c>
      <c r="H72" s="164">
        <f t="shared" si="21"/>
        <v>30416.322560000004</v>
      </c>
      <c r="I72" s="164">
        <f t="shared" si="21"/>
        <v>31632.975462400005</v>
      </c>
      <c r="J72" s="164">
        <f t="shared" si="21"/>
        <v>32898.294480896009</v>
      </c>
      <c r="K72" s="164">
        <f t="shared" si="21"/>
        <v>34214.226260131851</v>
      </c>
      <c r="L72" s="164">
        <f t="shared" si="21"/>
        <v>35582.795310537127</v>
      </c>
      <c r="M72" s="164">
        <f t="shared" si="21"/>
        <v>37006.107122958616</v>
      </c>
      <c r="N72" s="164">
        <f t="shared" si="21"/>
        <v>38486.351407876959</v>
      </c>
      <c r="O72" s="164">
        <f t="shared" si="21"/>
        <v>40025.805464192039</v>
      </c>
      <c r="P72" s="164">
        <f t="shared" si="21"/>
        <v>41626.837682759724</v>
      </c>
      <c r="Q72" s="164">
        <f t="shared" si="21"/>
        <v>43291.911190070117</v>
      </c>
      <c r="R72" s="164">
        <f t="shared" si="21"/>
        <v>45023.587637672921</v>
      </c>
      <c r="S72" s="164">
        <f t="shared" si="21"/>
        <v>46824.53114317984</v>
      </c>
      <c r="T72" s="164">
        <f t="shared" si="19"/>
        <v>48697.512388907038</v>
      </c>
      <c r="U72" s="164">
        <f t="shared" si="19"/>
        <v>50645.412884463323</v>
      </c>
      <c r="V72" s="164">
        <f t="shared" si="19"/>
        <v>52671.229399841861</v>
      </c>
      <c r="W72" s="164">
        <f t="shared" si="19"/>
        <v>54778.078575835534</v>
      </c>
      <c r="X72" s="164"/>
    </row>
    <row r="73" spans="1:24" x14ac:dyDescent="0.2">
      <c r="A73" s="172" t="str">
        <f>'Data Input 2'!G16</f>
        <v>Energy and utilities</v>
      </c>
      <c r="B73" s="186">
        <f>'Data Input 2'!K16</f>
        <v>15000</v>
      </c>
      <c r="C73" s="187">
        <f t="shared" si="20"/>
        <v>15000</v>
      </c>
      <c r="D73" s="164">
        <f t="shared" si="21"/>
        <v>15600</v>
      </c>
      <c r="E73" s="164">
        <f t="shared" si="19"/>
        <v>16224</v>
      </c>
      <c r="F73" s="164">
        <f t="shared" si="19"/>
        <v>16872.96</v>
      </c>
      <c r="G73" s="164">
        <f t="shared" si="19"/>
        <v>17547.878400000001</v>
      </c>
      <c r="H73" s="164">
        <f t="shared" si="19"/>
        <v>18249.793536000001</v>
      </c>
      <c r="I73" s="164">
        <f t="shared" si="19"/>
        <v>18979.785277440002</v>
      </c>
      <c r="J73" s="164">
        <f t="shared" si="19"/>
        <v>19738.976688537601</v>
      </c>
      <c r="K73" s="164">
        <f t="shared" si="19"/>
        <v>20528.535756079105</v>
      </c>
      <c r="L73" s="164">
        <f t="shared" si="19"/>
        <v>21349.677186322271</v>
      </c>
      <c r="M73" s="164">
        <f t="shared" si="19"/>
        <v>22203.664273775164</v>
      </c>
      <c r="N73" s="164">
        <f t="shared" si="19"/>
        <v>23091.810844726173</v>
      </c>
      <c r="O73" s="164">
        <f t="shared" si="19"/>
        <v>24015.483278515221</v>
      </c>
      <c r="P73" s="164">
        <f t="shared" si="19"/>
        <v>24976.102609655831</v>
      </c>
      <c r="Q73" s="164">
        <f t="shared" si="19"/>
        <v>25975.146714042065</v>
      </c>
      <c r="R73" s="164">
        <f t="shared" si="19"/>
        <v>27014.152582603747</v>
      </c>
      <c r="S73" s="164">
        <f t="shared" si="19"/>
        <v>28094.718685907897</v>
      </c>
      <c r="T73" s="164">
        <f t="shared" si="19"/>
        <v>29218.507433344213</v>
      </c>
      <c r="U73" s="164">
        <f t="shared" si="19"/>
        <v>30387.247730677984</v>
      </c>
      <c r="V73" s="164">
        <f t="shared" si="19"/>
        <v>31602.737639905103</v>
      </c>
      <c r="W73" s="164">
        <f t="shared" si="19"/>
        <v>32866.847145501306</v>
      </c>
      <c r="X73" s="164"/>
    </row>
    <row r="74" spans="1:24" s="188" customFormat="1" x14ac:dyDescent="0.2">
      <c r="A74" s="172" t="str">
        <f>'Data Input 2'!G17</f>
        <v>Administrative expenses</v>
      </c>
      <c r="B74" s="186">
        <f>'Data Input 2'!K17</f>
        <v>5000</v>
      </c>
      <c r="C74" s="187">
        <f t="shared" si="20"/>
        <v>5000</v>
      </c>
      <c r="D74" s="164">
        <f t="shared" si="21"/>
        <v>5200</v>
      </c>
      <c r="E74" s="164">
        <f t="shared" si="19"/>
        <v>5408</v>
      </c>
      <c r="F74" s="164">
        <f t="shared" si="19"/>
        <v>5624.3200000000006</v>
      </c>
      <c r="G74" s="164">
        <f t="shared" si="19"/>
        <v>5849.2928000000011</v>
      </c>
      <c r="H74" s="164">
        <f t="shared" si="19"/>
        <v>6083.2645120000016</v>
      </c>
      <c r="I74" s="164">
        <f t="shared" si="19"/>
        <v>6326.5950924800018</v>
      </c>
      <c r="J74" s="164">
        <f t="shared" si="19"/>
        <v>6579.6588961792022</v>
      </c>
      <c r="K74" s="164">
        <f t="shared" si="19"/>
        <v>6842.8452520263709</v>
      </c>
      <c r="L74" s="164">
        <f t="shared" si="19"/>
        <v>7116.5590621074261</v>
      </c>
      <c r="M74" s="164">
        <f t="shared" si="19"/>
        <v>7401.221424591723</v>
      </c>
      <c r="N74" s="164">
        <f t="shared" si="19"/>
        <v>7697.2702815753919</v>
      </c>
      <c r="O74" s="164">
        <f t="shared" si="19"/>
        <v>8005.161092838408</v>
      </c>
      <c r="P74" s="164">
        <f t="shared" si="19"/>
        <v>8325.3675365519448</v>
      </c>
      <c r="Q74" s="164">
        <f t="shared" si="19"/>
        <v>8658.3822380140227</v>
      </c>
      <c r="R74" s="164">
        <f t="shared" si="19"/>
        <v>9004.7175275345835</v>
      </c>
      <c r="S74" s="164">
        <f t="shared" si="19"/>
        <v>9364.9062286359676</v>
      </c>
      <c r="T74" s="164">
        <f t="shared" si="19"/>
        <v>9739.5024777814069</v>
      </c>
      <c r="U74" s="164">
        <f t="shared" si="19"/>
        <v>10129.082576892664</v>
      </c>
      <c r="V74" s="164">
        <f t="shared" si="19"/>
        <v>10534.245879968372</v>
      </c>
      <c r="W74" s="164">
        <f t="shared" si="19"/>
        <v>10955.615715167107</v>
      </c>
      <c r="X74" s="164"/>
    </row>
    <row r="75" spans="1:24" x14ac:dyDescent="0.2">
      <c r="A75" s="172" t="str">
        <f>'Data Input 2'!G18</f>
        <v>Lab</v>
      </c>
      <c r="B75" s="186">
        <f>'Data Input 2'!K18</f>
        <v>5000</v>
      </c>
      <c r="C75" s="187">
        <f t="shared" si="20"/>
        <v>5000</v>
      </c>
      <c r="D75" s="164">
        <f t="shared" si="21"/>
        <v>5200</v>
      </c>
      <c r="E75" s="164">
        <f t="shared" si="19"/>
        <v>5408</v>
      </c>
      <c r="F75" s="164">
        <f t="shared" si="19"/>
        <v>5624.3200000000006</v>
      </c>
      <c r="G75" s="164">
        <f t="shared" si="19"/>
        <v>5849.2928000000011</v>
      </c>
      <c r="H75" s="164">
        <f t="shared" si="19"/>
        <v>6083.2645120000016</v>
      </c>
      <c r="I75" s="164">
        <f t="shared" si="19"/>
        <v>6326.5950924800018</v>
      </c>
      <c r="J75" s="164">
        <f t="shared" si="19"/>
        <v>6579.6588961792022</v>
      </c>
      <c r="K75" s="164">
        <f t="shared" si="19"/>
        <v>6842.8452520263709</v>
      </c>
      <c r="L75" s="164">
        <f t="shared" si="19"/>
        <v>7116.5590621074261</v>
      </c>
      <c r="M75" s="164">
        <f t="shared" si="19"/>
        <v>7401.221424591723</v>
      </c>
      <c r="N75" s="164">
        <f t="shared" si="19"/>
        <v>7697.2702815753919</v>
      </c>
      <c r="O75" s="164">
        <f t="shared" si="19"/>
        <v>8005.161092838408</v>
      </c>
      <c r="P75" s="164">
        <f t="shared" si="19"/>
        <v>8325.3675365519448</v>
      </c>
      <c r="Q75" s="164">
        <f t="shared" si="19"/>
        <v>8658.3822380140227</v>
      </c>
      <c r="R75" s="164">
        <f t="shared" si="19"/>
        <v>9004.7175275345835</v>
      </c>
      <c r="S75" s="164">
        <f t="shared" si="19"/>
        <v>9364.9062286359676</v>
      </c>
      <c r="T75" s="164">
        <f t="shared" si="19"/>
        <v>9739.5024777814069</v>
      </c>
      <c r="U75" s="164">
        <f t="shared" si="19"/>
        <v>10129.082576892664</v>
      </c>
      <c r="V75" s="164">
        <f t="shared" si="19"/>
        <v>10534.245879968372</v>
      </c>
      <c r="W75" s="164">
        <f t="shared" si="19"/>
        <v>10955.615715167107</v>
      </c>
      <c r="X75" s="164"/>
    </row>
    <row r="76" spans="1:24" x14ac:dyDescent="0.2">
      <c r="A76" s="172" t="str">
        <f>'Data Input 2'!G19</f>
        <v>Routine repairs &amp; maintenance</v>
      </c>
      <c r="B76" s="186">
        <f>'Data Input 2'!K19</f>
        <v>20000</v>
      </c>
      <c r="C76" s="187">
        <f t="shared" si="20"/>
        <v>20000</v>
      </c>
      <c r="D76" s="164">
        <f t="shared" si="21"/>
        <v>20800</v>
      </c>
      <c r="E76" s="164">
        <f t="shared" si="19"/>
        <v>21632</v>
      </c>
      <c r="F76" s="164">
        <f t="shared" si="19"/>
        <v>22497.280000000002</v>
      </c>
      <c r="G76" s="164">
        <f t="shared" si="19"/>
        <v>23397.171200000004</v>
      </c>
      <c r="H76" s="164">
        <f t="shared" si="19"/>
        <v>24333.058048000006</v>
      </c>
      <c r="I76" s="164">
        <f t="shared" si="19"/>
        <v>25306.380369920007</v>
      </c>
      <c r="J76" s="164">
        <f t="shared" si="19"/>
        <v>26318.635584716809</v>
      </c>
      <c r="K76" s="164">
        <f t="shared" si="19"/>
        <v>27371.381008105483</v>
      </c>
      <c r="L76" s="164">
        <f t="shared" si="19"/>
        <v>28466.236248429705</v>
      </c>
      <c r="M76" s="164">
        <f t="shared" si="19"/>
        <v>29604.885698366892</v>
      </c>
      <c r="N76" s="164">
        <f t="shared" si="19"/>
        <v>30789.081126301568</v>
      </c>
      <c r="O76" s="164">
        <f t="shared" si="19"/>
        <v>32020.644371353632</v>
      </c>
      <c r="P76" s="164">
        <f t="shared" si="19"/>
        <v>33301.470146207779</v>
      </c>
      <c r="Q76" s="164">
        <f t="shared" si="19"/>
        <v>34633.528952056091</v>
      </c>
      <c r="R76" s="164">
        <f t="shared" si="19"/>
        <v>36018.870110138334</v>
      </c>
      <c r="S76" s="164">
        <f t="shared" si="19"/>
        <v>37459.624914543871</v>
      </c>
      <c r="T76" s="164">
        <f t="shared" si="19"/>
        <v>38958.009911125628</v>
      </c>
      <c r="U76" s="164">
        <f t="shared" si="19"/>
        <v>40516.330307570657</v>
      </c>
      <c r="V76" s="164">
        <f t="shared" si="19"/>
        <v>42136.983519873487</v>
      </c>
      <c r="W76" s="164">
        <f t="shared" si="19"/>
        <v>43822.462860668427</v>
      </c>
      <c r="X76" s="164"/>
    </row>
    <row r="77" spans="1:24" x14ac:dyDescent="0.2">
      <c r="A77" s="172" t="str">
        <f>'Data Input 2'!G20</f>
        <v>Water purchase</v>
      </c>
      <c r="B77" s="186">
        <f>'Data Input 2'!K20</f>
        <v>0</v>
      </c>
      <c r="C77" s="187">
        <f t="shared" si="20"/>
        <v>0</v>
      </c>
      <c r="D77" s="164">
        <f t="shared" si="21"/>
        <v>0</v>
      </c>
      <c r="E77" s="164">
        <f t="shared" si="19"/>
        <v>0</v>
      </c>
      <c r="F77" s="164">
        <f t="shared" si="19"/>
        <v>0</v>
      </c>
      <c r="G77" s="164">
        <f t="shared" si="19"/>
        <v>0</v>
      </c>
      <c r="H77" s="164">
        <f t="shared" si="19"/>
        <v>0</v>
      </c>
      <c r="I77" s="164">
        <f t="shared" si="19"/>
        <v>0</v>
      </c>
      <c r="J77" s="164">
        <f t="shared" si="19"/>
        <v>0</v>
      </c>
      <c r="K77" s="164">
        <f t="shared" si="19"/>
        <v>0</v>
      </c>
      <c r="L77" s="164">
        <f t="shared" si="19"/>
        <v>0</v>
      </c>
      <c r="M77" s="164">
        <f t="shared" si="19"/>
        <v>0</v>
      </c>
      <c r="N77" s="164">
        <f t="shared" si="19"/>
        <v>0</v>
      </c>
      <c r="O77" s="164">
        <f t="shared" si="19"/>
        <v>0</v>
      </c>
      <c r="P77" s="164">
        <f t="shared" si="19"/>
        <v>0</v>
      </c>
      <c r="Q77" s="164">
        <f t="shared" si="19"/>
        <v>0</v>
      </c>
      <c r="R77" s="164">
        <f t="shared" si="19"/>
        <v>0</v>
      </c>
      <c r="S77" s="164">
        <f t="shared" si="19"/>
        <v>0</v>
      </c>
      <c r="T77" s="164">
        <f t="shared" si="19"/>
        <v>0</v>
      </c>
      <c r="U77" s="164">
        <f t="shared" si="19"/>
        <v>0</v>
      </c>
      <c r="V77" s="164">
        <f t="shared" si="19"/>
        <v>0</v>
      </c>
      <c r="W77" s="164">
        <f t="shared" si="19"/>
        <v>0</v>
      </c>
      <c r="X77" s="164"/>
    </row>
    <row r="78" spans="1:24" x14ac:dyDescent="0.2">
      <c r="A78" s="172" t="str">
        <f>'Data Input 2'!G21</f>
        <v>Taxes</v>
      </c>
      <c r="B78" s="186">
        <f>'Data Input 2'!K21</f>
        <v>0</v>
      </c>
      <c r="C78" s="187">
        <f t="shared" si="20"/>
        <v>0</v>
      </c>
      <c r="D78" s="164">
        <f t="shared" si="21"/>
        <v>0</v>
      </c>
      <c r="E78" s="164">
        <f t="shared" si="19"/>
        <v>0</v>
      </c>
      <c r="F78" s="164">
        <f t="shared" si="19"/>
        <v>0</v>
      </c>
      <c r="G78" s="164">
        <f t="shared" si="19"/>
        <v>0</v>
      </c>
      <c r="H78" s="164">
        <f t="shared" si="19"/>
        <v>0</v>
      </c>
      <c r="I78" s="164">
        <f t="shared" si="19"/>
        <v>0</v>
      </c>
      <c r="J78" s="164">
        <f t="shared" si="19"/>
        <v>0</v>
      </c>
      <c r="K78" s="164">
        <f t="shared" si="19"/>
        <v>0</v>
      </c>
      <c r="L78" s="164">
        <f t="shared" si="19"/>
        <v>0</v>
      </c>
      <c r="M78" s="164">
        <f t="shared" si="19"/>
        <v>0</v>
      </c>
      <c r="N78" s="164">
        <f t="shared" si="19"/>
        <v>0</v>
      </c>
      <c r="O78" s="164">
        <f t="shared" si="19"/>
        <v>0</v>
      </c>
      <c r="P78" s="164">
        <f t="shared" si="19"/>
        <v>0</v>
      </c>
      <c r="Q78" s="164">
        <f t="shared" si="19"/>
        <v>0</v>
      </c>
      <c r="R78" s="164">
        <f t="shared" si="19"/>
        <v>0</v>
      </c>
      <c r="S78" s="164">
        <f t="shared" si="19"/>
        <v>0</v>
      </c>
      <c r="T78" s="164">
        <f t="shared" si="19"/>
        <v>0</v>
      </c>
      <c r="U78" s="164">
        <f t="shared" si="19"/>
        <v>0</v>
      </c>
      <c r="V78" s="164">
        <f t="shared" si="19"/>
        <v>0</v>
      </c>
      <c r="W78" s="164">
        <f t="shared" si="19"/>
        <v>0</v>
      </c>
      <c r="X78" s="164"/>
    </row>
    <row r="79" spans="1:24" x14ac:dyDescent="0.2">
      <c r="A79" s="172" t="str">
        <f>'Data Input 2'!G22</f>
        <v>Consultants, service providers, trainings</v>
      </c>
      <c r="B79" s="186">
        <f>'Data Input 2'!K22</f>
        <v>1000</v>
      </c>
      <c r="C79" s="187">
        <f t="shared" si="20"/>
        <v>1000</v>
      </c>
      <c r="D79" s="164">
        <f t="shared" si="21"/>
        <v>1040</v>
      </c>
      <c r="E79" s="164">
        <f t="shared" si="19"/>
        <v>1081.6000000000001</v>
      </c>
      <c r="F79" s="164">
        <f t="shared" si="19"/>
        <v>1124.8640000000003</v>
      </c>
      <c r="G79" s="164">
        <f t="shared" si="19"/>
        <v>1169.8585600000004</v>
      </c>
      <c r="H79" s="164">
        <f t="shared" si="19"/>
        <v>1216.6529024000004</v>
      </c>
      <c r="I79" s="164">
        <f t="shared" si="19"/>
        <v>1265.3190184960004</v>
      </c>
      <c r="J79" s="164">
        <f t="shared" si="19"/>
        <v>1315.9317792358404</v>
      </c>
      <c r="K79" s="164">
        <f t="shared" si="19"/>
        <v>1368.5690504052741</v>
      </c>
      <c r="L79" s="164">
        <f t="shared" si="19"/>
        <v>1423.311812421485</v>
      </c>
      <c r="M79" s="164">
        <f t="shared" si="19"/>
        <v>1480.2442849183444</v>
      </c>
      <c r="N79" s="164">
        <f t="shared" si="19"/>
        <v>1539.4540563150783</v>
      </c>
      <c r="O79" s="164">
        <f t="shared" si="19"/>
        <v>1601.0322185676814</v>
      </c>
      <c r="P79" s="164">
        <f t="shared" si="19"/>
        <v>1665.0735073103888</v>
      </c>
      <c r="Q79" s="164">
        <f t="shared" si="19"/>
        <v>1731.6764476028043</v>
      </c>
      <c r="R79" s="164">
        <f t="shared" si="19"/>
        <v>1800.9435055069166</v>
      </c>
      <c r="S79" s="164">
        <f t="shared" si="19"/>
        <v>1872.9812457271933</v>
      </c>
      <c r="T79" s="164">
        <f t="shared" si="19"/>
        <v>1947.9004955562812</v>
      </c>
      <c r="U79" s="164">
        <f t="shared" si="19"/>
        <v>2025.8165153785326</v>
      </c>
      <c r="V79" s="164">
        <f t="shared" si="19"/>
        <v>2106.8491759936742</v>
      </c>
      <c r="W79" s="164">
        <f t="shared" si="19"/>
        <v>2191.123143033421</v>
      </c>
      <c r="X79" s="164"/>
    </row>
    <row r="80" spans="1:24" s="140" customFormat="1" x14ac:dyDescent="0.2">
      <c r="A80" s="172" t="str">
        <f>'Data Input 2'!G23</f>
        <v>Miscellaneous annual expenses</v>
      </c>
      <c r="B80" s="186">
        <f>'Data Input 2'!K23</f>
        <v>224000</v>
      </c>
      <c r="C80" s="187">
        <f t="shared" si="20"/>
        <v>224000</v>
      </c>
      <c r="D80" s="164">
        <f t="shared" si="21"/>
        <v>232960</v>
      </c>
      <c r="E80" s="164">
        <f t="shared" si="19"/>
        <v>242278.39999999999</v>
      </c>
      <c r="F80" s="164">
        <f t="shared" si="19"/>
        <v>251969.53599999999</v>
      </c>
      <c r="G80" s="164">
        <f t="shared" si="19"/>
        <v>262048.31744000001</v>
      </c>
      <c r="H80" s="164">
        <f t="shared" si="19"/>
        <v>272530.2501376</v>
      </c>
      <c r="I80" s="164">
        <f t="shared" si="19"/>
        <v>283431.46014310402</v>
      </c>
      <c r="J80" s="164">
        <f t="shared" si="19"/>
        <v>294768.71854882821</v>
      </c>
      <c r="K80" s="164">
        <f t="shared" si="19"/>
        <v>306559.46729078132</v>
      </c>
      <c r="L80" s="164">
        <f t="shared" si="19"/>
        <v>318821.84598241257</v>
      </c>
      <c r="M80" s="164">
        <f t="shared" si="19"/>
        <v>331574.71982170909</v>
      </c>
      <c r="N80" s="164">
        <f t="shared" si="19"/>
        <v>344837.70861457748</v>
      </c>
      <c r="O80" s="164">
        <f t="shared" si="19"/>
        <v>358631.21695916058</v>
      </c>
      <c r="P80" s="164">
        <f t="shared" si="19"/>
        <v>372976.465637527</v>
      </c>
      <c r="Q80" s="164">
        <f t="shared" si="19"/>
        <v>387895.52426302811</v>
      </c>
      <c r="R80" s="164">
        <f t="shared" si="19"/>
        <v>403411.34523354925</v>
      </c>
      <c r="S80" s="164">
        <f t="shared" si="19"/>
        <v>419547.79904289125</v>
      </c>
      <c r="T80" s="164">
        <f t="shared" si="19"/>
        <v>436329.71100460691</v>
      </c>
      <c r="U80" s="164">
        <f t="shared" si="19"/>
        <v>453782.8994447912</v>
      </c>
      <c r="V80" s="164">
        <f t="shared" si="19"/>
        <v>471934.21542258287</v>
      </c>
      <c r="W80" s="164">
        <f t="shared" si="19"/>
        <v>490811.58403948619</v>
      </c>
      <c r="X80" s="164"/>
    </row>
    <row r="81" spans="1:24" x14ac:dyDescent="0.2">
      <c r="A81" s="172" t="str">
        <f>'Data Input 2'!G24</f>
        <v>Depreciation or Cash Capital Expenses excluded from "Debt Service" box</v>
      </c>
      <c r="B81" s="186">
        <f>'Data Input 2'!K24</f>
        <v>200000</v>
      </c>
      <c r="C81" s="187">
        <f t="shared" si="20"/>
        <v>200000</v>
      </c>
      <c r="D81" s="164">
        <f t="shared" ref="D81:W81" si="22">C81*(1+$B$69)</f>
        <v>208000</v>
      </c>
      <c r="E81" s="164">
        <f t="shared" si="22"/>
        <v>216320</v>
      </c>
      <c r="F81" s="164">
        <f t="shared" si="22"/>
        <v>224972.80000000002</v>
      </c>
      <c r="G81" s="164">
        <f t="shared" si="22"/>
        <v>233971.71200000003</v>
      </c>
      <c r="H81" s="164">
        <f t="shared" si="22"/>
        <v>243330.58048000003</v>
      </c>
      <c r="I81" s="164">
        <f t="shared" si="22"/>
        <v>253063.80369920004</v>
      </c>
      <c r="J81" s="164">
        <f t="shared" si="22"/>
        <v>263186.35584716807</v>
      </c>
      <c r="K81" s="164">
        <f t="shared" si="22"/>
        <v>273713.81008105481</v>
      </c>
      <c r="L81" s="164">
        <f t="shared" si="22"/>
        <v>284662.36248429702</v>
      </c>
      <c r="M81" s="164">
        <f t="shared" si="22"/>
        <v>296048.85698366893</v>
      </c>
      <c r="N81" s="164">
        <f t="shared" si="22"/>
        <v>307890.81126301567</v>
      </c>
      <c r="O81" s="164">
        <f t="shared" si="22"/>
        <v>320206.44371353631</v>
      </c>
      <c r="P81" s="164">
        <f t="shared" si="22"/>
        <v>333014.70146207779</v>
      </c>
      <c r="Q81" s="164">
        <f t="shared" si="22"/>
        <v>346335.28952056094</v>
      </c>
      <c r="R81" s="164">
        <f t="shared" si="22"/>
        <v>360188.70110138337</v>
      </c>
      <c r="S81" s="164">
        <f t="shared" si="22"/>
        <v>374596.24914543872</v>
      </c>
      <c r="T81" s="164">
        <f t="shared" si="22"/>
        <v>389580.09911125631</v>
      </c>
      <c r="U81" s="164">
        <f t="shared" si="22"/>
        <v>405163.30307570659</v>
      </c>
      <c r="V81" s="164">
        <f t="shared" si="22"/>
        <v>421369.83519873489</v>
      </c>
      <c r="W81" s="164">
        <f t="shared" si="22"/>
        <v>438224.62860668427</v>
      </c>
      <c r="X81" s="164"/>
    </row>
    <row r="82" spans="1:24" s="140" customFormat="1" x14ac:dyDescent="0.2">
      <c r="A82" s="166"/>
      <c r="B82" s="186"/>
      <c r="C82" s="176"/>
      <c r="D82" s="164"/>
      <c r="E82" s="164"/>
      <c r="F82" s="164"/>
      <c r="G82" s="164"/>
      <c r="H82" s="164"/>
      <c r="I82" s="164"/>
      <c r="J82" s="164"/>
      <c r="K82" s="164"/>
      <c r="L82" s="164"/>
      <c r="M82" s="164"/>
      <c r="N82" s="164"/>
      <c r="O82" s="164"/>
      <c r="P82" s="164"/>
      <c r="Q82" s="164"/>
      <c r="R82" s="164"/>
      <c r="S82" s="164"/>
      <c r="T82" s="164"/>
      <c r="U82" s="164"/>
      <c r="V82" s="164"/>
      <c r="W82" s="164"/>
      <c r="X82" s="164"/>
    </row>
    <row r="83" spans="1:24" s="140" customFormat="1" x14ac:dyDescent="0.2">
      <c r="A83" s="189" t="str">
        <f>'Data Input 2'!M9</f>
        <v>Debt Service and Other Known Annual Expenses</v>
      </c>
      <c r="B83" s="190" t="s">
        <v>125</v>
      </c>
      <c r="C83" s="191">
        <f t="array" ref="C83:W83">TRANSPOSE('Data Input 2'!N18:N39)</f>
        <v>25000</v>
      </c>
      <c r="D83" s="192">
        <v>25000</v>
      </c>
      <c r="E83" s="192">
        <v>25000</v>
      </c>
      <c r="F83" s="192">
        <v>5000</v>
      </c>
      <c r="G83" s="192">
        <v>5000</v>
      </c>
      <c r="H83" s="192">
        <v>5000</v>
      </c>
      <c r="I83" s="192">
        <v>0</v>
      </c>
      <c r="J83" s="192">
        <v>0</v>
      </c>
      <c r="K83" s="192">
        <v>0</v>
      </c>
      <c r="L83" s="192">
        <v>0</v>
      </c>
      <c r="M83" s="192">
        <v>50000</v>
      </c>
      <c r="N83" s="192">
        <v>50000</v>
      </c>
      <c r="O83" s="192">
        <v>50000</v>
      </c>
      <c r="P83" s="192">
        <v>50000</v>
      </c>
      <c r="Q83" s="192">
        <v>50000</v>
      </c>
      <c r="R83" s="192">
        <v>50000</v>
      </c>
      <c r="S83" s="192">
        <v>50000</v>
      </c>
      <c r="T83" s="192">
        <v>50000</v>
      </c>
      <c r="U83" s="192">
        <v>50000</v>
      </c>
      <c r="V83" s="192">
        <v>50000</v>
      </c>
      <c r="W83" s="192">
        <v>50000</v>
      </c>
      <c r="X83" s="164"/>
    </row>
    <row r="84" spans="1:24" x14ac:dyDescent="0.2">
      <c r="A84" s="193"/>
      <c r="B84" s="194"/>
      <c r="C84" s="176"/>
      <c r="D84" s="164"/>
      <c r="E84" s="164"/>
      <c r="F84" s="164"/>
      <c r="G84" s="164"/>
      <c r="H84" s="164"/>
      <c r="I84" s="164"/>
      <c r="J84" s="164"/>
      <c r="K84" s="164"/>
      <c r="L84" s="164"/>
      <c r="M84" s="164"/>
      <c r="N84" s="164"/>
      <c r="O84" s="164"/>
      <c r="P84" s="164"/>
      <c r="Q84" s="164"/>
      <c r="R84" s="164"/>
      <c r="S84" s="164"/>
      <c r="T84" s="164"/>
      <c r="U84" s="164"/>
      <c r="V84" s="164"/>
      <c r="W84" s="164"/>
      <c r="X84" s="164"/>
    </row>
    <row r="85" spans="1:24" s="140" customFormat="1" ht="15" x14ac:dyDescent="0.25">
      <c r="A85" s="195" t="s">
        <v>95</v>
      </c>
      <c r="B85" s="194"/>
      <c r="C85" s="196">
        <f t="shared" ref="C85:W85" si="23">C86-C81-C83</f>
        <v>745000</v>
      </c>
      <c r="D85" s="196">
        <f t="shared" si="23"/>
        <v>774800</v>
      </c>
      <c r="E85" s="196">
        <f t="shared" si="23"/>
        <v>805792</v>
      </c>
      <c r="F85" s="196">
        <f t="shared" si="23"/>
        <v>838023.6799999997</v>
      </c>
      <c r="G85" s="196">
        <f t="shared" si="23"/>
        <v>871544.62719999999</v>
      </c>
      <c r="H85" s="196">
        <f t="shared" si="23"/>
        <v>906406.41228800011</v>
      </c>
      <c r="I85" s="196">
        <f t="shared" si="23"/>
        <v>942662.66877951985</v>
      </c>
      <c r="J85" s="196">
        <f t="shared" si="23"/>
        <v>980369.17553070071</v>
      </c>
      <c r="K85" s="196">
        <f t="shared" si="23"/>
        <v>1019583.9425519287</v>
      </c>
      <c r="L85" s="196">
        <f t="shared" si="23"/>
        <v>1060367.3002540064</v>
      </c>
      <c r="M85" s="196">
        <f t="shared" si="23"/>
        <v>1102781.9922641665</v>
      </c>
      <c r="N85" s="196">
        <f t="shared" si="23"/>
        <v>1146893.2719547332</v>
      </c>
      <c r="O85" s="196">
        <f t="shared" si="23"/>
        <v>1192769.0028329224</v>
      </c>
      <c r="P85" s="196">
        <f t="shared" si="23"/>
        <v>1240479.7629462392</v>
      </c>
      <c r="Q85" s="196">
        <f t="shared" si="23"/>
        <v>1290098.953464089</v>
      </c>
      <c r="R85" s="196">
        <f t="shared" si="23"/>
        <v>1341702.9116026526</v>
      </c>
      <c r="S85" s="196">
        <f t="shared" si="23"/>
        <v>1395371.0280667585</v>
      </c>
      <c r="T85" s="196">
        <f t="shared" si="23"/>
        <v>1451185.8691894291</v>
      </c>
      <c r="U85" s="196">
        <f t="shared" si="23"/>
        <v>1509233.3039570064</v>
      </c>
      <c r="V85" s="196">
        <f t="shared" si="23"/>
        <v>1569602.6361152865</v>
      </c>
      <c r="W85" s="196">
        <f t="shared" si="23"/>
        <v>1632386.7415598978</v>
      </c>
      <c r="X85" s="164"/>
    </row>
    <row r="86" spans="1:24" s="180" customFormat="1" ht="15.75" thickBot="1" x14ac:dyDescent="0.3">
      <c r="A86" s="177" t="s">
        <v>143</v>
      </c>
      <c r="B86" s="197"/>
      <c r="C86" s="198">
        <f t="shared" ref="C86:W86" si="24">SUM(C71:C83)</f>
        <v>970000</v>
      </c>
      <c r="D86" s="198">
        <f t="shared" si="24"/>
        <v>1007800</v>
      </c>
      <c r="E86" s="198">
        <f t="shared" si="24"/>
        <v>1047112</v>
      </c>
      <c r="F86" s="198">
        <f t="shared" si="24"/>
        <v>1067996.4799999997</v>
      </c>
      <c r="G86" s="198">
        <f t="shared" si="24"/>
        <v>1110516.3392</v>
      </c>
      <c r="H86" s="198">
        <f t="shared" si="24"/>
        <v>1154736.9927680001</v>
      </c>
      <c r="I86" s="198">
        <f t="shared" si="24"/>
        <v>1195726.4724787199</v>
      </c>
      <c r="J86" s="198">
        <f t="shared" si="24"/>
        <v>1243555.5313778687</v>
      </c>
      <c r="K86" s="198">
        <f t="shared" si="24"/>
        <v>1293297.7526329835</v>
      </c>
      <c r="L86" s="198">
        <f t="shared" si="24"/>
        <v>1345029.6627383034</v>
      </c>
      <c r="M86" s="198">
        <f t="shared" si="24"/>
        <v>1448830.8492478353</v>
      </c>
      <c r="N86" s="198">
        <f t="shared" si="24"/>
        <v>1504784.0832177489</v>
      </c>
      <c r="O86" s="198">
        <f t="shared" si="24"/>
        <v>1562975.4465464586</v>
      </c>
      <c r="P86" s="198">
        <f t="shared" si="24"/>
        <v>1623494.4644083171</v>
      </c>
      <c r="Q86" s="198">
        <f t="shared" si="24"/>
        <v>1686434.24298465</v>
      </c>
      <c r="R86" s="198">
        <f t="shared" si="24"/>
        <v>1751891.6127040361</v>
      </c>
      <c r="S86" s="198">
        <f t="shared" si="24"/>
        <v>1819967.2772121972</v>
      </c>
      <c r="T86" s="198">
        <f t="shared" si="24"/>
        <v>1890765.9683006853</v>
      </c>
      <c r="U86" s="198">
        <f t="shared" si="24"/>
        <v>1964396.607032713</v>
      </c>
      <c r="V86" s="198">
        <f t="shared" si="24"/>
        <v>2040972.4713140214</v>
      </c>
      <c r="W86" s="198">
        <f t="shared" si="24"/>
        <v>2120611.3701665821</v>
      </c>
      <c r="X86" s="198"/>
    </row>
    <row r="87" spans="1:24" ht="13.5" thickTop="1" x14ac:dyDescent="0.2">
      <c r="A87" s="142"/>
      <c r="B87" s="199"/>
      <c r="C87" s="183"/>
      <c r="D87" s="139"/>
      <c r="J87" s="200"/>
      <c r="K87" s="200"/>
      <c r="L87" s="200"/>
      <c r="M87" s="200"/>
      <c r="N87" s="200"/>
      <c r="O87" s="200"/>
      <c r="P87" s="200"/>
      <c r="Q87" s="200"/>
      <c r="R87" s="200"/>
      <c r="S87" s="200"/>
      <c r="T87" s="200"/>
      <c r="U87" s="200"/>
      <c r="V87" s="200"/>
      <c r="W87" s="200"/>
      <c r="X87" s="200"/>
    </row>
    <row r="88" spans="1:24" s="203" customFormat="1" ht="15.75" thickBot="1" x14ac:dyDescent="0.3">
      <c r="A88" s="201" t="s">
        <v>144</v>
      </c>
      <c r="B88" s="202"/>
      <c r="C88" s="203">
        <f t="shared" ref="C88:W88" si="25">C67-C86</f>
        <v>-36551.008000000031</v>
      </c>
      <c r="D88" s="203">
        <f t="shared" si="25"/>
        <v>105308.92482750001</v>
      </c>
      <c r="E88" s="203">
        <f t="shared" si="25"/>
        <v>70575.450235950062</v>
      </c>
      <c r="F88" s="203">
        <f t="shared" si="25"/>
        <v>54231.874699498527</v>
      </c>
      <c r="G88" s="203">
        <f t="shared" si="25"/>
        <v>16216.330771861831</v>
      </c>
      <c r="H88" s="203">
        <f t="shared" si="25"/>
        <v>-23535.588635500055</v>
      </c>
      <c r="I88" s="203">
        <f t="shared" si="25"/>
        <v>-59122.470786610618</v>
      </c>
      <c r="J88" s="203">
        <f t="shared" si="25"/>
        <v>-102185.23117023567</v>
      </c>
      <c r="K88" s="203">
        <f t="shared" si="25"/>
        <v>-144407.14505874133</v>
      </c>
      <c r="L88" s="203">
        <f t="shared" si="25"/>
        <v>-191055.72076172195</v>
      </c>
      <c r="M88" s="203">
        <f t="shared" si="25"/>
        <v>-289809.57025618316</v>
      </c>
      <c r="N88" s="203">
        <f t="shared" si="25"/>
        <v>-340750.5107116343</v>
      </c>
      <c r="O88" s="203">
        <f t="shared" si="25"/>
        <v>-393963.69135210454</v>
      </c>
      <c r="P88" s="203">
        <f t="shared" si="25"/>
        <v>-449537.72542247851</v>
      </c>
      <c r="Q88" s="203">
        <f t="shared" si="25"/>
        <v>-507564.82746265223</v>
      </c>
      <c r="R88" s="203">
        <f t="shared" si="25"/>
        <v>-568140.95610116329</v>
      </c>
      <c r="S88" s="203">
        <f t="shared" si="25"/>
        <v>-630410.24502044218</v>
      </c>
      <c r="T88" s="203">
        <f t="shared" si="25"/>
        <v>-696034.7205139806</v>
      </c>
      <c r="U88" s="203">
        <f t="shared" si="25"/>
        <v>-764522.45263286913</v>
      </c>
      <c r="V88" s="203">
        <f t="shared" si="25"/>
        <v>-833210.22882967955</v>
      </c>
      <c r="W88" s="203">
        <f t="shared" si="25"/>
        <v>-907393.04081593733</v>
      </c>
    </row>
    <row r="89" spans="1:24" ht="13.5" thickTop="1" x14ac:dyDescent="0.2">
      <c r="A89" s="204"/>
      <c r="D89" s="139"/>
    </row>
    <row r="90" spans="1:24" ht="15" x14ac:dyDescent="0.25">
      <c r="A90" s="205" t="s">
        <v>145</v>
      </c>
      <c r="B90" s="199"/>
      <c r="C90" s="206">
        <f t="shared" ref="C90:W90" si="26">ROUND(C67/C86,2)</f>
        <v>0.96</v>
      </c>
      <c r="D90" s="206">
        <f t="shared" si="26"/>
        <v>1.1000000000000001</v>
      </c>
      <c r="E90" s="206">
        <f t="shared" si="26"/>
        <v>1.07</v>
      </c>
      <c r="F90" s="206">
        <f t="shared" si="26"/>
        <v>1.05</v>
      </c>
      <c r="G90" s="206">
        <f t="shared" si="26"/>
        <v>1.01</v>
      </c>
      <c r="H90" s="206">
        <f t="shared" si="26"/>
        <v>0.98</v>
      </c>
      <c r="I90" s="206">
        <f t="shared" si="26"/>
        <v>0.95</v>
      </c>
      <c r="J90" s="206">
        <f t="shared" si="26"/>
        <v>0.92</v>
      </c>
      <c r="K90" s="206">
        <f t="shared" si="26"/>
        <v>0.89</v>
      </c>
      <c r="L90" s="206">
        <f t="shared" si="26"/>
        <v>0.86</v>
      </c>
      <c r="M90" s="206">
        <f t="shared" si="26"/>
        <v>0.8</v>
      </c>
      <c r="N90" s="206">
        <f t="shared" si="26"/>
        <v>0.77</v>
      </c>
      <c r="O90" s="206">
        <f t="shared" si="26"/>
        <v>0.75</v>
      </c>
      <c r="P90" s="206">
        <f t="shared" si="26"/>
        <v>0.72</v>
      </c>
      <c r="Q90" s="206">
        <f t="shared" si="26"/>
        <v>0.7</v>
      </c>
      <c r="R90" s="206">
        <f t="shared" si="26"/>
        <v>0.68</v>
      </c>
      <c r="S90" s="206">
        <f t="shared" si="26"/>
        <v>0.65</v>
      </c>
      <c r="T90" s="206">
        <f t="shared" si="26"/>
        <v>0.63</v>
      </c>
      <c r="U90" s="206">
        <f t="shared" si="26"/>
        <v>0.61</v>
      </c>
      <c r="V90" s="206">
        <f t="shared" si="26"/>
        <v>0.59</v>
      </c>
      <c r="W90" s="206">
        <f t="shared" si="26"/>
        <v>0.56999999999999995</v>
      </c>
    </row>
    <row r="91" spans="1:24" s="149" customFormat="1" ht="15.75" thickBot="1" x14ac:dyDescent="0.3">
      <c r="A91" s="207" t="s">
        <v>146</v>
      </c>
      <c r="B91" s="208">
        <f>'Data Input 2'!K7</f>
        <v>1750000</v>
      </c>
      <c r="C91" s="209">
        <f>B91+C88</f>
        <v>1713448.9920000001</v>
      </c>
      <c r="D91" s="209">
        <f>C91+D88</f>
        <v>1818757.9168275001</v>
      </c>
      <c r="E91" s="209">
        <f t="shared" ref="E91:W91" si="27">D91+E88</f>
        <v>1889333.3670634502</v>
      </c>
      <c r="F91" s="209">
        <f t="shared" si="27"/>
        <v>1943565.2417629487</v>
      </c>
      <c r="G91" s="209">
        <f t="shared" si="27"/>
        <v>1959781.5725348105</v>
      </c>
      <c r="H91" s="209">
        <f t="shared" si="27"/>
        <v>1936245.9838993105</v>
      </c>
      <c r="I91" s="209">
        <f t="shared" si="27"/>
        <v>1877123.5131126998</v>
      </c>
      <c r="J91" s="209">
        <f t="shared" si="27"/>
        <v>1774938.2819424642</v>
      </c>
      <c r="K91" s="209">
        <f t="shared" si="27"/>
        <v>1630531.1368837229</v>
      </c>
      <c r="L91" s="209">
        <f t="shared" si="27"/>
        <v>1439475.4161220009</v>
      </c>
      <c r="M91" s="209">
        <f t="shared" si="27"/>
        <v>1149665.8458658177</v>
      </c>
      <c r="N91" s="209">
        <f t="shared" si="27"/>
        <v>808915.33515418344</v>
      </c>
      <c r="O91" s="209">
        <f t="shared" si="27"/>
        <v>414951.64380207891</v>
      </c>
      <c r="P91" s="209">
        <f t="shared" si="27"/>
        <v>-34586.081620399607</v>
      </c>
      <c r="Q91" s="209">
        <f t="shared" si="27"/>
        <v>-542150.90908305184</v>
      </c>
      <c r="R91" s="209">
        <f t="shared" si="27"/>
        <v>-1110291.8651842151</v>
      </c>
      <c r="S91" s="209">
        <f t="shared" si="27"/>
        <v>-1740702.1102046573</v>
      </c>
      <c r="T91" s="209">
        <f t="shared" si="27"/>
        <v>-2436736.8307186379</v>
      </c>
      <c r="U91" s="209">
        <f t="shared" si="27"/>
        <v>-3201259.283351507</v>
      </c>
      <c r="V91" s="209">
        <f t="shared" si="27"/>
        <v>-4034469.5121811866</v>
      </c>
      <c r="W91" s="209">
        <f t="shared" si="27"/>
        <v>-4941862.5529971235</v>
      </c>
    </row>
    <row r="92" spans="1:24" s="149" customFormat="1" ht="13.5" thickTop="1" x14ac:dyDescent="0.2">
      <c r="A92" s="210"/>
      <c r="B92" s="153"/>
      <c r="C92" s="211"/>
      <c r="D92" s="151"/>
      <c r="E92" s="156"/>
      <c r="F92" s="156"/>
      <c r="G92" s="156"/>
      <c r="H92" s="156"/>
      <c r="I92" s="156"/>
      <c r="J92" s="156"/>
      <c r="K92" s="156"/>
      <c r="L92" s="156"/>
      <c r="M92" s="156"/>
      <c r="N92" s="156"/>
      <c r="O92" s="139"/>
    </row>
    <row r="93" spans="1:24" s="149" customFormat="1" x14ac:dyDescent="0.2">
      <c r="A93" s="212" t="s">
        <v>102</v>
      </c>
      <c r="B93" s="213"/>
      <c r="C93" s="214"/>
      <c r="D93" s="215"/>
      <c r="E93" s="216"/>
      <c r="F93" s="216"/>
      <c r="G93" s="216"/>
      <c r="H93" s="216"/>
      <c r="I93" s="216"/>
      <c r="J93" s="216"/>
      <c r="K93" s="216"/>
      <c r="L93" s="216"/>
      <c r="M93" s="156"/>
      <c r="N93" s="156"/>
      <c r="O93" s="139"/>
    </row>
    <row r="94" spans="1:24" x14ac:dyDescent="0.2">
      <c r="A94" s="155"/>
      <c r="B94" s="199"/>
      <c r="C94" s="183"/>
      <c r="D94" s="151"/>
      <c r="E94" s="156"/>
      <c r="F94" s="156"/>
      <c r="G94" s="156"/>
      <c r="H94" s="156"/>
      <c r="I94" s="156"/>
      <c r="J94" s="156"/>
      <c r="K94" s="156"/>
      <c r="L94" s="156"/>
      <c r="M94" s="156"/>
      <c r="N94" s="156"/>
    </row>
    <row r="95" spans="1:24" x14ac:dyDescent="0.2">
      <c r="A95" s="347" t="s">
        <v>130</v>
      </c>
      <c r="B95" s="347"/>
      <c r="C95" s="347"/>
      <c r="D95" s="347"/>
      <c r="E95" s="347"/>
      <c r="F95" s="347"/>
      <c r="G95" s="347"/>
      <c r="H95" s="347"/>
      <c r="I95" s="347"/>
      <c r="J95" s="347"/>
      <c r="K95" s="347"/>
      <c r="L95" s="347"/>
      <c r="M95" s="156"/>
      <c r="N95" s="156"/>
    </row>
    <row r="96" spans="1:24" x14ac:dyDescent="0.2">
      <c r="A96" s="347" t="s">
        <v>97</v>
      </c>
      <c r="B96" s="347"/>
      <c r="C96" s="347"/>
      <c r="D96" s="347"/>
      <c r="E96" s="347"/>
      <c r="F96" s="347"/>
      <c r="G96" s="347"/>
      <c r="H96" s="347"/>
      <c r="I96" s="347"/>
      <c r="J96" s="347"/>
      <c r="K96" s="347"/>
      <c r="L96" s="347"/>
      <c r="M96" s="156"/>
      <c r="N96" s="156"/>
    </row>
    <row r="97" spans="1:14" x14ac:dyDescent="0.2">
      <c r="A97" s="349" t="s">
        <v>120</v>
      </c>
      <c r="B97" s="349"/>
      <c r="C97" s="349"/>
      <c r="D97" s="349"/>
      <c r="E97" s="349"/>
      <c r="F97" s="349"/>
      <c r="G97" s="349"/>
      <c r="H97" s="349"/>
      <c r="I97" s="349"/>
      <c r="J97" s="349"/>
      <c r="K97" s="349"/>
      <c r="L97" s="349"/>
      <c r="M97" s="156"/>
      <c r="N97" s="156"/>
    </row>
    <row r="98" spans="1:14" x14ac:dyDescent="0.2">
      <c r="C98" s="183"/>
    </row>
  </sheetData>
  <sheetProtection password="EB90" sheet="1" objects="1" scenarios="1" formatCells="0" formatColumns="0" formatRows="0"/>
  <mergeCells count="5">
    <mergeCell ref="A1:I1"/>
    <mergeCell ref="A2:I2"/>
    <mergeCell ref="A97:L97"/>
    <mergeCell ref="A95:L95"/>
    <mergeCell ref="A96:L96"/>
  </mergeCells>
  <hyperlinks>
    <hyperlink ref="A95:K95" r:id="rId1" display="Copyright © 2012 Environmental Finance Center at The University of North Carolina, Chapel Hill. www.efc.unc.edu" xr:uid="{00000000-0004-0000-0600-000000000000}"/>
    <hyperlink ref="A97:K97" r:id="rId2" display="Download an updated version of this tool at http://efc.sog.unc.edu. Find it in Resources / Tools." xr:uid="{00000000-0004-0000-0600-000001000000}"/>
    <hyperlink ref="A97:L97" r:id="rId3" display="Download an updated version of this tool at http://efc.sog.unc.edu. Find it in Resources / Tools." xr:uid="{00000000-0004-0000-0600-000002000000}"/>
  </hyperlinks>
  <printOptions gridLines="1"/>
  <pageMargins left="0.75" right="0.46" top="0.91" bottom="0.38" header="0.25" footer="0.28000000000000003"/>
  <pageSetup scale="58" orientation="landscape" horizontalDpi="4294967293"/>
  <headerFooter alignWithMargins="0">
    <oddHeader xml:space="preserve">&amp;C&amp;"Arial,Bold"&amp;12Water and Sewer Rate Analysis&amp;R&amp;12Environmental Finance Center
University of North Carolina
</oddHeader>
    <oddFooter>&amp;L&amp;12Elmar D. Kapfer, P.E.
&amp;R&amp;"Arial,Bold"&amp;12Appendix 1</oddFooter>
  </headerFooter>
  <rowBreaks count="1" manualBreakCount="1">
    <brk id="69" max="1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5"/>
  <sheetViews>
    <sheetView workbookViewId="0">
      <selection sqref="A1:A3"/>
    </sheetView>
  </sheetViews>
  <sheetFormatPr defaultRowHeight="15" x14ac:dyDescent="0.25"/>
  <cols>
    <col min="1" max="1" width="29.7109375" style="252" customWidth="1"/>
    <col min="2" max="2" width="17.5703125" style="252" bestFit="1" customWidth="1"/>
    <col min="3" max="3" width="17.5703125" style="252" customWidth="1"/>
    <col min="4" max="6" width="22.28515625" style="253" customWidth="1"/>
    <col min="7" max="7" width="23.140625" style="253" customWidth="1"/>
    <col min="8" max="8" width="36.85546875" style="254" bestFit="1" customWidth="1"/>
    <col min="9" max="10" width="22.28515625" style="253" customWidth="1"/>
    <col min="11" max="16384" width="9.140625" style="252"/>
  </cols>
  <sheetData>
    <row r="1" spans="1:10" x14ac:dyDescent="0.25">
      <c r="A1" s="351" t="s">
        <v>149</v>
      </c>
      <c r="B1" s="252" t="s">
        <v>150</v>
      </c>
      <c r="C1" s="252" t="s">
        <v>171</v>
      </c>
    </row>
    <row r="2" spans="1:10" x14ac:dyDescent="0.25">
      <c r="A2" s="351"/>
      <c r="B2" s="252" t="s">
        <v>151</v>
      </c>
      <c r="C2" s="252" t="s">
        <v>169</v>
      </c>
      <c r="H2" s="272" t="s">
        <v>176</v>
      </c>
    </row>
    <row r="3" spans="1:10" x14ac:dyDescent="0.25">
      <c r="A3" s="351"/>
      <c r="B3" s="252" t="s">
        <v>152</v>
      </c>
      <c r="C3" s="252" t="s">
        <v>170</v>
      </c>
    </row>
    <row r="5" spans="1:10" x14ac:dyDescent="0.25">
      <c r="A5" s="256" t="s">
        <v>153</v>
      </c>
    </row>
    <row r="10" spans="1:10" x14ac:dyDescent="0.25">
      <c r="D10" s="257" t="s">
        <v>154</v>
      </c>
      <c r="E10" s="257"/>
      <c r="F10" s="257"/>
      <c r="G10" s="257"/>
    </row>
    <row r="11" spans="1:10" s="258" customFormat="1" x14ac:dyDescent="0.25">
      <c r="A11" s="258" t="s">
        <v>155</v>
      </c>
      <c r="B11" s="258" t="s">
        <v>156</v>
      </c>
      <c r="C11" s="258" t="s">
        <v>157</v>
      </c>
      <c r="D11" s="259" t="s">
        <v>158</v>
      </c>
      <c r="E11" s="259" t="s">
        <v>159</v>
      </c>
      <c r="F11" s="259" t="s">
        <v>160</v>
      </c>
      <c r="G11" s="259" t="s">
        <v>161</v>
      </c>
      <c r="H11" s="260" t="s">
        <v>162</v>
      </c>
      <c r="I11" s="259"/>
      <c r="J11" s="259"/>
    </row>
    <row r="12" spans="1:10" x14ac:dyDescent="0.25">
      <c r="A12" s="252">
        <v>1000001</v>
      </c>
      <c r="B12" s="252" t="s">
        <v>163</v>
      </c>
      <c r="C12" s="261">
        <v>41456</v>
      </c>
      <c r="D12" s="253">
        <v>23000</v>
      </c>
      <c r="E12" s="253">
        <f>IF(D12&gt;3000,3000,D12)</f>
        <v>3000</v>
      </c>
      <c r="F12" s="253">
        <f>IF(D12&gt;8000,5000,IF(D12&gt;3000,D12-3000,0))</f>
        <v>5000</v>
      </c>
      <c r="G12" s="253">
        <f>IF(D12&gt;8000,D12-8000,0)</f>
        <v>15000</v>
      </c>
      <c r="H12" s="254">
        <f>SUM(E12:G12)</f>
        <v>23000</v>
      </c>
    </row>
    <row r="13" spans="1:10" x14ac:dyDescent="0.25">
      <c r="A13" s="252">
        <v>1000001</v>
      </c>
      <c r="B13" s="252" t="s">
        <v>163</v>
      </c>
      <c r="C13" s="261">
        <v>41487</v>
      </c>
      <c r="D13" s="253">
        <v>15000</v>
      </c>
      <c r="E13" s="253">
        <f t="shared" ref="E13:E35" si="0">IF(D13&gt;3000,3000,D13)</f>
        <v>3000</v>
      </c>
      <c r="F13" s="253">
        <f t="shared" ref="F13:F35" si="1">IF(D13&gt;8000,5000,IF(D13&gt;3000,D13-3000,0))</f>
        <v>5000</v>
      </c>
      <c r="G13" s="253">
        <f t="shared" ref="G13:G35" si="2">IF(D13&gt;8000,D13-8000,0)</f>
        <v>7000</v>
      </c>
      <c r="H13" s="254">
        <f t="shared" ref="H13:H35" si="3">SUM(E13:G13)</f>
        <v>15000</v>
      </c>
    </row>
    <row r="14" spans="1:10" x14ac:dyDescent="0.25">
      <c r="A14" s="252">
        <v>1000001</v>
      </c>
      <c r="B14" s="252" t="s">
        <v>163</v>
      </c>
      <c r="C14" s="261">
        <v>41518</v>
      </c>
      <c r="D14" s="253">
        <v>14000</v>
      </c>
      <c r="E14" s="253">
        <f t="shared" si="0"/>
        <v>3000</v>
      </c>
      <c r="F14" s="253">
        <f t="shared" si="1"/>
        <v>5000</v>
      </c>
      <c r="G14" s="253">
        <f t="shared" si="2"/>
        <v>6000</v>
      </c>
      <c r="H14" s="254">
        <f t="shared" si="3"/>
        <v>14000</v>
      </c>
    </row>
    <row r="15" spans="1:10" x14ac:dyDescent="0.25">
      <c r="A15" s="252">
        <v>1000001</v>
      </c>
      <c r="B15" s="252" t="s">
        <v>163</v>
      </c>
      <c r="C15" s="261">
        <v>41548</v>
      </c>
      <c r="D15" s="253">
        <v>12000</v>
      </c>
      <c r="E15" s="253">
        <f t="shared" si="0"/>
        <v>3000</v>
      </c>
      <c r="F15" s="253">
        <f t="shared" si="1"/>
        <v>5000</v>
      </c>
      <c r="G15" s="253">
        <f t="shared" si="2"/>
        <v>4000</v>
      </c>
      <c r="H15" s="254">
        <f t="shared" si="3"/>
        <v>12000</v>
      </c>
    </row>
    <row r="16" spans="1:10" x14ac:dyDescent="0.25">
      <c r="A16" s="252">
        <v>1000001</v>
      </c>
      <c r="B16" s="252" t="s">
        <v>163</v>
      </c>
      <c r="C16" s="261">
        <v>41579</v>
      </c>
      <c r="D16" s="253">
        <v>7000</v>
      </c>
      <c r="E16" s="253">
        <f t="shared" si="0"/>
        <v>3000</v>
      </c>
      <c r="F16" s="253">
        <f t="shared" si="1"/>
        <v>4000</v>
      </c>
      <c r="G16" s="253">
        <f t="shared" si="2"/>
        <v>0</v>
      </c>
      <c r="H16" s="254">
        <f t="shared" si="3"/>
        <v>7000</v>
      </c>
    </row>
    <row r="17" spans="1:10" x14ac:dyDescent="0.25">
      <c r="A17" s="252">
        <v>1000001</v>
      </c>
      <c r="B17" s="252" t="s">
        <v>163</v>
      </c>
      <c r="C17" s="261">
        <v>41609</v>
      </c>
      <c r="D17" s="253">
        <v>6000</v>
      </c>
      <c r="E17" s="253">
        <f t="shared" si="0"/>
        <v>3000</v>
      </c>
      <c r="F17" s="253">
        <f t="shared" si="1"/>
        <v>3000</v>
      </c>
      <c r="G17" s="253">
        <f t="shared" si="2"/>
        <v>0</v>
      </c>
      <c r="H17" s="254">
        <f t="shared" si="3"/>
        <v>6000</v>
      </c>
    </row>
    <row r="18" spans="1:10" x14ac:dyDescent="0.25">
      <c r="A18" s="252">
        <v>1000001</v>
      </c>
      <c r="B18" s="252" t="s">
        <v>163</v>
      </c>
      <c r="C18" s="261">
        <v>41640</v>
      </c>
      <c r="D18" s="253">
        <v>3000</v>
      </c>
      <c r="E18" s="253">
        <f t="shared" si="0"/>
        <v>3000</v>
      </c>
      <c r="F18" s="253">
        <f t="shared" si="1"/>
        <v>0</v>
      </c>
      <c r="G18" s="253">
        <f t="shared" si="2"/>
        <v>0</v>
      </c>
      <c r="H18" s="254">
        <f t="shared" si="3"/>
        <v>3000</v>
      </c>
    </row>
    <row r="19" spans="1:10" x14ac:dyDescent="0.25">
      <c r="A19" s="252">
        <v>1000001</v>
      </c>
      <c r="B19" s="252" t="s">
        <v>163</v>
      </c>
      <c r="C19" s="261">
        <v>41671</v>
      </c>
      <c r="D19" s="253">
        <v>0</v>
      </c>
      <c r="E19" s="253">
        <f t="shared" si="0"/>
        <v>0</v>
      </c>
      <c r="F19" s="253">
        <f t="shared" si="1"/>
        <v>0</v>
      </c>
      <c r="G19" s="253">
        <f t="shared" si="2"/>
        <v>0</v>
      </c>
      <c r="H19" s="254">
        <f t="shared" si="3"/>
        <v>0</v>
      </c>
    </row>
    <row r="20" spans="1:10" x14ac:dyDescent="0.25">
      <c r="A20" s="252">
        <v>1000001</v>
      </c>
      <c r="B20" s="252" t="s">
        <v>163</v>
      </c>
      <c r="C20" s="261">
        <v>41699</v>
      </c>
      <c r="D20" s="253">
        <v>3000</v>
      </c>
      <c r="E20" s="253">
        <f t="shared" si="0"/>
        <v>3000</v>
      </c>
      <c r="F20" s="253">
        <f t="shared" si="1"/>
        <v>0</v>
      </c>
      <c r="G20" s="253">
        <f t="shared" si="2"/>
        <v>0</v>
      </c>
      <c r="H20" s="254">
        <f t="shared" si="3"/>
        <v>3000</v>
      </c>
    </row>
    <row r="21" spans="1:10" x14ac:dyDescent="0.25">
      <c r="A21" s="252">
        <v>1000001</v>
      </c>
      <c r="B21" s="252" t="s">
        <v>163</v>
      </c>
      <c r="C21" s="261">
        <v>41730</v>
      </c>
      <c r="D21" s="253">
        <v>5000</v>
      </c>
      <c r="E21" s="253">
        <f t="shared" si="0"/>
        <v>3000</v>
      </c>
      <c r="F21" s="253">
        <f t="shared" si="1"/>
        <v>2000</v>
      </c>
      <c r="G21" s="253">
        <f t="shared" si="2"/>
        <v>0</v>
      </c>
      <c r="H21" s="254">
        <f t="shared" si="3"/>
        <v>5000</v>
      </c>
    </row>
    <row r="22" spans="1:10" x14ac:dyDescent="0.25">
      <c r="A22" s="252">
        <v>1000001</v>
      </c>
      <c r="B22" s="252" t="s">
        <v>163</v>
      </c>
      <c r="C22" s="261">
        <v>41760</v>
      </c>
      <c r="D22" s="253">
        <v>15000</v>
      </c>
      <c r="E22" s="253">
        <f t="shared" si="0"/>
        <v>3000</v>
      </c>
      <c r="F22" s="253">
        <f t="shared" si="1"/>
        <v>5000</v>
      </c>
      <c r="G22" s="253">
        <f t="shared" si="2"/>
        <v>7000</v>
      </c>
      <c r="H22" s="254">
        <f t="shared" si="3"/>
        <v>15000</v>
      </c>
    </row>
    <row r="23" spans="1:10" s="258" customFormat="1" x14ac:dyDescent="0.25">
      <c r="A23" s="258">
        <v>1000001</v>
      </c>
      <c r="B23" s="258" t="s">
        <v>163</v>
      </c>
      <c r="C23" s="262">
        <v>41791</v>
      </c>
      <c r="D23" s="259">
        <v>21000</v>
      </c>
      <c r="E23" s="259">
        <f t="shared" si="0"/>
        <v>3000</v>
      </c>
      <c r="F23" s="259">
        <f t="shared" si="1"/>
        <v>5000</v>
      </c>
      <c r="G23" s="259">
        <f t="shared" si="2"/>
        <v>13000</v>
      </c>
      <c r="H23" s="260">
        <f t="shared" si="3"/>
        <v>21000</v>
      </c>
      <c r="I23" s="259"/>
      <c r="J23" s="259"/>
    </row>
    <row r="24" spans="1:10" x14ac:dyDescent="0.25">
      <c r="A24" s="252">
        <v>2000002</v>
      </c>
      <c r="B24" s="252" t="s">
        <v>164</v>
      </c>
      <c r="C24" s="261">
        <v>41456</v>
      </c>
      <c r="D24" s="253">
        <v>2000</v>
      </c>
      <c r="E24" s="253">
        <f t="shared" si="0"/>
        <v>2000</v>
      </c>
      <c r="F24" s="253">
        <f t="shared" si="1"/>
        <v>0</v>
      </c>
      <c r="G24" s="253">
        <f t="shared" si="2"/>
        <v>0</v>
      </c>
      <c r="H24" s="254">
        <f t="shared" si="3"/>
        <v>2000</v>
      </c>
    </row>
    <row r="25" spans="1:10" x14ac:dyDescent="0.25">
      <c r="A25" s="252">
        <v>2000002</v>
      </c>
      <c r="B25" s="252" t="s">
        <v>164</v>
      </c>
      <c r="C25" s="261">
        <v>41487</v>
      </c>
      <c r="D25" s="253">
        <v>3000</v>
      </c>
      <c r="E25" s="253">
        <f t="shared" si="0"/>
        <v>3000</v>
      </c>
      <c r="F25" s="253">
        <f t="shared" si="1"/>
        <v>0</v>
      </c>
      <c r="G25" s="253">
        <f t="shared" si="2"/>
        <v>0</v>
      </c>
      <c r="H25" s="254">
        <f t="shared" si="3"/>
        <v>3000</v>
      </c>
    </row>
    <row r="26" spans="1:10" x14ac:dyDescent="0.25">
      <c r="A26" s="252">
        <v>2000002</v>
      </c>
      <c r="B26" s="252" t="s">
        <v>164</v>
      </c>
      <c r="C26" s="261">
        <v>41518</v>
      </c>
      <c r="D26" s="253">
        <v>4000</v>
      </c>
      <c r="E26" s="253">
        <f t="shared" si="0"/>
        <v>3000</v>
      </c>
      <c r="F26" s="253">
        <f t="shared" si="1"/>
        <v>1000</v>
      </c>
      <c r="G26" s="253">
        <f t="shared" si="2"/>
        <v>0</v>
      </c>
      <c r="H26" s="254">
        <f t="shared" si="3"/>
        <v>4000</v>
      </c>
    </row>
    <row r="27" spans="1:10" x14ac:dyDescent="0.25">
      <c r="A27" s="252">
        <v>2000002</v>
      </c>
      <c r="B27" s="252" t="s">
        <v>164</v>
      </c>
      <c r="C27" s="261">
        <v>41548</v>
      </c>
      <c r="D27" s="253">
        <v>15000</v>
      </c>
      <c r="E27" s="253">
        <f t="shared" si="0"/>
        <v>3000</v>
      </c>
      <c r="F27" s="253">
        <f t="shared" si="1"/>
        <v>5000</v>
      </c>
      <c r="G27" s="253">
        <f t="shared" si="2"/>
        <v>7000</v>
      </c>
      <c r="H27" s="254">
        <f t="shared" si="3"/>
        <v>15000</v>
      </c>
    </row>
    <row r="28" spans="1:10" x14ac:dyDescent="0.25">
      <c r="A28" s="252">
        <v>2000002</v>
      </c>
      <c r="B28" s="252" t="s">
        <v>164</v>
      </c>
      <c r="C28" s="261">
        <v>41579</v>
      </c>
      <c r="D28" s="253">
        <v>13000</v>
      </c>
      <c r="E28" s="253">
        <f t="shared" si="0"/>
        <v>3000</v>
      </c>
      <c r="F28" s="253">
        <f t="shared" si="1"/>
        <v>5000</v>
      </c>
      <c r="G28" s="253">
        <f t="shared" si="2"/>
        <v>5000</v>
      </c>
      <c r="H28" s="254">
        <f t="shared" si="3"/>
        <v>13000</v>
      </c>
    </row>
    <row r="29" spans="1:10" x14ac:dyDescent="0.25">
      <c r="A29" s="252">
        <v>2000002</v>
      </c>
      <c r="B29" s="252" t="s">
        <v>164</v>
      </c>
      <c r="C29" s="261">
        <v>41609</v>
      </c>
      <c r="D29" s="253">
        <v>0</v>
      </c>
      <c r="E29" s="253">
        <f t="shared" si="0"/>
        <v>0</v>
      </c>
      <c r="F29" s="253">
        <f t="shared" si="1"/>
        <v>0</v>
      </c>
      <c r="G29" s="253">
        <f t="shared" si="2"/>
        <v>0</v>
      </c>
      <c r="H29" s="254">
        <f t="shared" si="3"/>
        <v>0</v>
      </c>
    </row>
    <row r="30" spans="1:10" x14ac:dyDescent="0.25">
      <c r="A30" s="252">
        <v>2000002</v>
      </c>
      <c r="B30" s="252" t="s">
        <v>164</v>
      </c>
      <c r="C30" s="261">
        <v>41640</v>
      </c>
      <c r="D30" s="253">
        <v>0</v>
      </c>
      <c r="E30" s="253">
        <f t="shared" si="0"/>
        <v>0</v>
      </c>
      <c r="F30" s="253">
        <f t="shared" si="1"/>
        <v>0</v>
      </c>
      <c r="G30" s="253">
        <f t="shared" si="2"/>
        <v>0</v>
      </c>
      <c r="H30" s="254">
        <f t="shared" si="3"/>
        <v>0</v>
      </c>
    </row>
    <row r="31" spans="1:10" x14ac:dyDescent="0.25">
      <c r="A31" s="252">
        <v>2000002</v>
      </c>
      <c r="B31" s="252" t="s">
        <v>164</v>
      </c>
      <c r="C31" s="261">
        <v>41671</v>
      </c>
      <c r="D31" s="253">
        <v>2000</v>
      </c>
      <c r="E31" s="253">
        <f t="shared" si="0"/>
        <v>2000</v>
      </c>
      <c r="F31" s="253">
        <f t="shared" si="1"/>
        <v>0</v>
      </c>
      <c r="G31" s="253">
        <f t="shared" si="2"/>
        <v>0</v>
      </c>
      <c r="H31" s="254">
        <f t="shared" si="3"/>
        <v>2000</v>
      </c>
    </row>
    <row r="32" spans="1:10" x14ac:dyDescent="0.25">
      <c r="A32" s="252">
        <v>2000002</v>
      </c>
      <c r="B32" s="252" t="s">
        <v>164</v>
      </c>
      <c r="C32" s="261">
        <v>41699</v>
      </c>
      <c r="D32" s="253">
        <v>5000</v>
      </c>
      <c r="E32" s="253">
        <f t="shared" si="0"/>
        <v>3000</v>
      </c>
      <c r="F32" s="253">
        <f t="shared" si="1"/>
        <v>2000</v>
      </c>
      <c r="G32" s="253">
        <f t="shared" si="2"/>
        <v>0</v>
      </c>
      <c r="H32" s="254">
        <f t="shared" si="3"/>
        <v>5000</v>
      </c>
    </row>
    <row r="33" spans="1:10" x14ac:dyDescent="0.25">
      <c r="A33" s="252">
        <v>2000002</v>
      </c>
      <c r="B33" s="252" t="s">
        <v>164</v>
      </c>
      <c r="C33" s="261">
        <v>41730</v>
      </c>
      <c r="D33" s="253">
        <v>1000</v>
      </c>
      <c r="E33" s="253">
        <f t="shared" si="0"/>
        <v>1000</v>
      </c>
      <c r="F33" s="253">
        <f t="shared" si="1"/>
        <v>0</v>
      </c>
      <c r="G33" s="253">
        <f t="shared" si="2"/>
        <v>0</v>
      </c>
      <c r="H33" s="254">
        <f t="shared" si="3"/>
        <v>1000</v>
      </c>
    </row>
    <row r="34" spans="1:10" x14ac:dyDescent="0.25">
      <c r="A34" s="252">
        <v>2000002</v>
      </c>
      <c r="B34" s="252" t="s">
        <v>164</v>
      </c>
      <c r="C34" s="261">
        <v>41760</v>
      </c>
      <c r="D34" s="253">
        <v>1000</v>
      </c>
      <c r="E34" s="253">
        <f t="shared" si="0"/>
        <v>1000</v>
      </c>
      <c r="F34" s="253">
        <f t="shared" si="1"/>
        <v>0</v>
      </c>
      <c r="G34" s="253">
        <f t="shared" si="2"/>
        <v>0</v>
      </c>
      <c r="H34" s="254">
        <f t="shared" si="3"/>
        <v>1000</v>
      </c>
    </row>
    <row r="35" spans="1:10" s="258" customFormat="1" x14ac:dyDescent="0.25">
      <c r="A35" s="258">
        <v>2000002</v>
      </c>
      <c r="B35" s="258" t="s">
        <v>164</v>
      </c>
      <c r="C35" s="262">
        <v>41791</v>
      </c>
      <c r="D35" s="259">
        <v>2000</v>
      </c>
      <c r="E35" s="259">
        <f t="shared" si="0"/>
        <v>2000</v>
      </c>
      <c r="F35" s="259">
        <f t="shared" si="1"/>
        <v>0</v>
      </c>
      <c r="G35" s="259">
        <f t="shared" si="2"/>
        <v>0</v>
      </c>
      <c r="H35" s="260">
        <f t="shared" si="3"/>
        <v>2000</v>
      </c>
      <c r="I35" s="259"/>
      <c r="J35" s="259"/>
    </row>
    <row r="36" spans="1:10" s="266" customFormat="1" x14ac:dyDescent="0.25">
      <c r="A36" s="263" t="s">
        <v>165</v>
      </c>
      <c r="B36" s="263" t="s">
        <v>165</v>
      </c>
      <c r="C36" s="263" t="s">
        <v>165</v>
      </c>
      <c r="D36" s="263" t="s">
        <v>165</v>
      </c>
      <c r="E36" s="263" t="s">
        <v>165</v>
      </c>
      <c r="F36" s="263" t="s">
        <v>165</v>
      </c>
      <c r="G36" s="263" t="s">
        <v>165</v>
      </c>
      <c r="H36" s="264" t="s">
        <v>165</v>
      </c>
      <c r="I36" s="265"/>
      <c r="J36" s="265"/>
    </row>
    <row r="37" spans="1:10" ht="5.25" customHeight="1" x14ac:dyDescent="0.25">
      <c r="A37" s="267"/>
    </row>
    <row r="38" spans="1:10" x14ac:dyDescent="0.25">
      <c r="C38" s="267" t="s">
        <v>173</v>
      </c>
      <c r="D38" s="268">
        <f>SUM(D12:D36)</f>
        <v>172000</v>
      </c>
      <c r="E38" s="269">
        <f>SUM(E12:E36)</f>
        <v>56000</v>
      </c>
      <c r="F38" s="269">
        <f t="shared" ref="F38:G38" si="4">SUM(F12:F36)</f>
        <v>52000</v>
      </c>
      <c r="G38" s="269">
        <f t="shared" si="4"/>
        <v>64000</v>
      </c>
    </row>
    <row r="39" spans="1:10" x14ac:dyDescent="0.25">
      <c r="C39" s="267" t="s">
        <v>172</v>
      </c>
      <c r="D39" s="268"/>
      <c r="E39" s="269"/>
      <c r="F39" s="269"/>
      <c r="G39" s="269"/>
    </row>
    <row r="40" spans="1:10" x14ac:dyDescent="0.25">
      <c r="C40" s="267" t="s">
        <v>174</v>
      </c>
      <c r="D40" s="268">
        <v>66000000</v>
      </c>
      <c r="E40" s="269">
        <v>18000000</v>
      </c>
      <c r="F40" s="269">
        <v>36000000</v>
      </c>
      <c r="G40" s="269">
        <v>12000000</v>
      </c>
    </row>
    <row r="41" spans="1:10" ht="15" customHeight="1" x14ac:dyDescent="0.25">
      <c r="C41" s="267" t="s">
        <v>166</v>
      </c>
      <c r="D41" s="268">
        <f>D40/12</f>
        <v>5500000</v>
      </c>
      <c r="E41" s="270">
        <f>E40/12</f>
        <v>1500000</v>
      </c>
      <c r="F41" s="270">
        <f t="shared" ref="F41:G41" si="5">F40/12</f>
        <v>3000000</v>
      </c>
      <c r="G41" s="270">
        <f t="shared" si="5"/>
        <v>1000000</v>
      </c>
      <c r="H41" s="352" t="s">
        <v>167</v>
      </c>
      <c r="I41" s="352"/>
    </row>
    <row r="42" spans="1:10" x14ac:dyDescent="0.25">
      <c r="D42" s="271"/>
      <c r="H42" s="352"/>
      <c r="I42" s="352"/>
    </row>
    <row r="43" spans="1:10" x14ac:dyDescent="0.25">
      <c r="D43" s="271"/>
    </row>
    <row r="44" spans="1:10" x14ac:dyDescent="0.25">
      <c r="D44" s="271"/>
    </row>
    <row r="45" spans="1:10" x14ac:dyDescent="0.25">
      <c r="A45" s="255" t="s">
        <v>168</v>
      </c>
    </row>
  </sheetData>
  <sheetProtection password="EB90" sheet="1" objects="1" scenarios="1"/>
  <mergeCells count="2">
    <mergeCell ref="A1:A3"/>
    <mergeCell ref="H41:I42"/>
  </mergeCells>
  <hyperlinks>
    <hyperlink ref="H2" location="'Data Input 2'!A1" display="Return to Data Input 2" xr:uid="{00000000-0004-0000-0700-000000000000}"/>
  </hyperlink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Data Input 1</vt:lpstr>
      <vt:lpstr>Data Input 2</vt:lpstr>
      <vt:lpstr>Charts</vt:lpstr>
      <vt:lpstr>Compare Monthly Bills</vt:lpstr>
      <vt:lpstr>Fund Balance - Existing Rates</vt:lpstr>
      <vt:lpstr>Fund Balance - New Rates</vt:lpstr>
      <vt:lpstr>Example of Block Consumption</vt:lpstr>
      <vt:lpstr>Charts!Print_Area</vt:lpstr>
      <vt:lpstr>'Fund Balance - Existing Rates'!Print_Area</vt:lpstr>
      <vt:lpstr>'Fund Balance - New Rates'!Print_Area</vt:lpstr>
    </vt:vector>
  </TitlesOfParts>
  <Company>UNC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Environmental Finance Center at UNC</dc:creator>
  <cp:lastModifiedBy>Pedro Archuleta</cp:lastModifiedBy>
  <cp:lastPrinted>2006-07-05T13:29:27Z</cp:lastPrinted>
  <dcterms:created xsi:type="dcterms:W3CDTF">2005-05-06T14:18:53Z</dcterms:created>
  <dcterms:modified xsi:type="dcterms:W3CDTF">2019-05-31T20:11:02Z</dcterms:modified>
</cp:coreProperties>
</file>